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lena G\Desktop\"/>
    </mc:Choice>
  </mc:AlternateContent>
  <xr:revisionPtr revIDLastSave="0" documentId="13_ncr:1_{12FE33B0-FCD6-4289-8895-A7870438C941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dojście" sheetId="62" r:id="rId1"/>
    <sheet name="dojście (2)" sheetId="84" r:id="rId2"/>
    <sheet name="parking (2)" sheetId="87" r:id="rId3"/>
    <sheet name="parking" sheetId="63" r:id="rId4"/>
    <sheet name="pochylnia (2)" sheetId="88" r:id="rId5"/>
    <sheet name="pochylnia" sheetId="64" r:id="rId6"/>
    <sheet name="podnośnik" sheetId="65" r:id="rId7"/>
    <sheet name="schody wewnętrzne  (4)" sheetId="99" r:id="rId8"/>
    <sheet name="schody wewnętrzne  (3)" sheetId="98" r:id="rId9"/>
    <sheet name="schody zewnętrzne (2)" sheetId="86" r:id="rId10"/>
    <sheet name="schody zewnętrzne (3)" sheetId="89" r:id="rId11"/>
    <sheet name="schody zewnętrzne" sheetId="66" r:id="rId12"/>
    <sheet name="korytarz  (3)" sheetId="94" r:id="rId13"/>
    <sheet name="wejście  (2)" sheetId="90" r:id="rId14"/>
    <sheet name="wejście  (3)" sheetId="91" r:id="rId15"/>
    <sheet name="wejście " sheetId="53" r:id="rId16"/>
    <sheet name=" korytarz 2 parter" sheetId="92" r:id="rId17"/>
    <sheet name="korytarz  (2)" sheetId="93" r:id="rId18"/>
    <sheet name="korytarz  (5)" sheetId="96" r:id="rId19"/>
    <sheet name="korytarz  (4)" sheetId="95" r:id="rId20"/>
    <sheet name="korytarz " sheetId="54" r:id="rId21"/>
    <sheet name="schody wewnętrzne  (2)" sheetId="97" r:id="rId22"/>
    <sheet name="schody wewnętrzne " sheetId="55" r:id="rId23"/>
    <sheet name="winda" sheetId="56" r:id="rId24"/>
    <sheet name="toaleta" sheetId="57" r:id="rId25"/>
    <sheet name="pomieszczenia" sheetId="58" r:id="rId26"/>
    <sheet name="pozostałe" sheetId="59" r:id="rId27"/>
    <sheet name="ewakuacja" sheetId="60" r:id="rId28"/>
    <sheet name="petla indukcyjna i PJM" sheetId="61" r:id="rId29"/>
    <sheet name="EDU - przebieralnia" sheetId="80" r:id="rId30"/>
    <sheet name="EDU - prysznic" sheetId="79" r:id="rId31"/>
    <sheet name="EDU - basen" sheetId="46" r:id="rId32"/>
    <sheet name="EDU - pomieszczenia" sheetId="47" r:id="rId33"/>
    <sheet name="KUL - informacja, kasa" sheetId="67" r:id="rId34"/>
    <sheet name="KUL - scena" sheetId="68" r:id="rId35"/>
    <sheet name="KUL - widownia" sheetId="69" r:id="rId36"/>
    <sheet name="KUL - oferta" sheetId="70" r:id="rId37"/>
    <sheet name="SPORT - informacja, kasa " sheetId="71" r:id="rId38"/>
    <sheet name="SPORT - przebieralnia" sheetId="81" r:id="rId39"/>
    <sheet name="SPORT - prysznic " sheetId="82" r:id="rId40"/>
    <sheet name="SPORT - hala - sala - basen" sheetId="74" r:id="rId41"/>
    <sheet name="SPORT - widownia - trybuny" sheetId="75" r:id="rId42"/>
    <sheet name="SPORT - oferta-inne" sheetId="76" r:id="rId43"/>
    <sheet name="Dane do list rozwijanych" sheetId="17" r:id="rId44"/>
  </sheets>
  <definedNames>
    <definedName name="_ftn1" localSheetId="27">ewakuacja!$A$8</definedName>
    <definedName name="_ftnref1" localSheetId="27">ewakuacja!$B$4</definedName>
  </definedNames>
  <calcPr calcId="191029"/>
</workbook>
</file>

<file path=xl/calcChain.xml><?xml version="1.0" encoding="utf-8"?>
<calcChain xmlns="http://schemas.openxmlformats.org/spreadsheetml/2006/main">
  <c r="G13" i="99" l="1"/>
  <c r="H13" i="99" s="1"/>
  <c r="H12" i="99"/>
  <c r="G12" i="99"/>
  <c r="H11" i="99"/>
  <c r="G11" i="99"/>
  <c r="G10" i="99"/>
  <c r="H10" i="99" s="1"/>
  <c r="G9" i="99"/>
  <c r="H9" i="99" s="1"/>
  <c r="G8" i="99"/>
  <c r="H8" i="99" s="1"/>
  <c r="G7" i="99"/>
  <c r="H7" i="99" s="1"/>
  <c r="G6" i="99"/>
  <c r="H6" i="99" s="1"/>
  <c r="G5" i="99"/>
  <c r="H5" i="99" s="1"/>
  <c r="G4" i="99"/>
  <c r="H4" i="99" s="1"/>
  <c r="G13" i="98"/>
  <c r="H13" i="98" s="1"/>
  <c r="H12" i="98"/>
  <c r="G12" i="98"/>
  <c r="H11" i="98"/>
  <c r="G11" i="98"/>
  <c r="G10" i="98"/>
  <c r="H10" i="98" s="1"/>
  <c r="H9" i="98"/>
  <c r="G9" i="98"/>
  <c r="G8" i="98"/>
  <c r="H8" i="98" s="1"/>
  <c r="G7" i="98"/>
  <c r="H7" i="98" s="1"/>
  <c r="G6" i="98"/>
  <c r="H6" i="98" s="1"/>
  <c r="H5" i="98"/>
  <c r="G5" i="98"/>
  <c r="G4" i="98"/>
  <c r="H4" i="98" s="1"/>
  <c r="G13" i="97"/>
  <c r="H13" i="97" s="1"/>
  <c r="H12" i="97"/>
  <c r="G12" i="97"/>
  <c r="H11" i="97"/>
  <c r="G11" i="97"/>
  <c r="G10" i="97"/>
  <c r="H10" i="97" s="1"/>
  <c r="G9" i="97"/>
  <c r="H9" i="97" s="1"/>
  <c r="G8" i="97"/>
  <c r="H8" i="97" s="1"/>
  <c r="G7" i="97"/>
  <c r="H7" i="97" s="1"/>
  <c r="G6" i="97"/>
  <c r="H6" i="97" s="1"/>
  <c r="G5" i="97"/>
  <c r="H5" i="97" s="1"/>
  <c r="H4" i="97"/>
  <c r="G4" i="97"/>
  <c r="G4" i="96"/>
  <c r="I4" i="96" s="1"/>
  <c r="G4" i="95"/>
  <c r="I4" i="95" s="1"/>
  <c r="G4" i="94"/>
  <c r="I4" i="94" s="1"/>
  <c r="G4" i="93"/>
  <c r="I4" i="93" s="1"/>
  <c r="G4" i="92"/>
  <c r="I4" i="92" s="1"/>
  <c r="G12" i="91"/>
  <c r="I12" i="91" s="1"/>
  <c r="I11" i="91"/>
  <c r="I10" i="91"/>
  <c r="H9" i="91"/>
  <c r="G9" i="91"/>
  <c r="I9" i="91" s="1"/>
  <c r="I8" i="91"/>
  <c r="G8" i="91"/>
  <c r="H8" i="91" s="1"/>
  <c r="G7" i="91"/>
  <c r="I7" i="91" s="1"/>
  <c r="I6" i="91"/>
  <c r="I5" i="91"/>
  <c r="I4" i="91"/>
  <c r="G12" i="90"/>
  <c r="I12" i="90" s="1"/>
  <c r="I11" i="90"/>
  <c r="I10" i="90"/>
  <c r="H9" i="90"/>
  <c r="G9" i="90"/>
  <c r="I9" i="90" s="1"/>
  <c r="I8" i="90"/>
  <c r="G8" i="90"/>
  <c r="H8" i="90" s="1"/>
  <c r="G7" i="90"/>
  <c r="I7" i="90" s="1"/>
  <c r="I6" i="90"/>
  <c r="I5" i="90"/>
  <c r="I4" i="90"/>
  <c r="I17" i="89"/>
  <c r="I16" i="89"/>
  <c r="G16" i="89"/>
  <c r="H16" i="89" s="1"/>
  <c r="I15" i="89"/>
  <c r="H14" i="89"/>
  <c r="G14" i="89"/>
  <c r="I14" i="89" s="1"/>
  <c r="I13" i="89"/>
  <c r="H13" i="89"/>
  <c r="G13" i="89"/>
  <c r="H12" i="89"/>
  <c r="G12" i="89"/>
  <c r="I12" i="89" s="1"/>
  <c r="I11" i="89"/>
  <c r="H11" i="89"/>
  <c r="G11" i="89"/>
  <c r="I10" i="89"/>
  <c r="I9" i="89"/>
  <c r="G9" i="89"/>
  <c r="H9" i="89" s="1"/>
  <c r="G8" i="89"/>
  <c r="I8" i="89" s="1"/>
  <c r="G7" i="89"/>
  <c r="I7" i="89" s="1"/>
  <c r="G6" i="89"/>
  <c r="I6" i="89" s="1"/>
  <c r="G5" i="89"/>
  <c r="I5" i="89" s="1"/>
  <c r="G4" i="89"/>
  <c r="I4" i="89" s="1"/>
  <c r="I23" i="88"/>
  <c r="H23" i="88"/>
  <c r="G22" i="88"/>
  <c r="H22" i="88" s="1"/>
  <c r="G21" i="88"/>
  <c r="I21" i="88" s="1"/>
  <c r="I20" i="88"/>
  <c r="G20" i="88"/>
  <c r="H20" i="88" s="1"/>
  <c r="G19" i="88"/>
  <c r="I19" i="88" s="1"/>
  <c r="G18" i="88"/>
  <c r="I18" i="88" s="1"/>
  <c r="G17" i="88"/>
  <c r="I17" i="88" s="1"/>
  <c r="H16" i="88"/>
  <c r="G16" i="88"/>
  <c r="I16" i="88" s="1"/>
  <c r="I15" i="88"/>
  <c r="H15" i="88"/>
  <c r="G15" i="88"/>
  <c r="I14" i="88"/>
  <c r="G14" i="88"/>
  <c r="H14" i="88" s="1"/>
  <c r="G13" i="88"/>
  <c r="I13" i="88" s="1"/>
  <c r="I12" i="88"/>
  <c r="G12" i="88"/>
  <c r="H12" i="88" s="1"/>
  <c r="I11" i="88"/>
  <c r="G11" i="88"/>
  <c r="H11" i="88" s="1"/>
  <c r="I10" i="88"/>
  <c r="G10" i="88"/>
  <c r="H10" i="88" s="1"/>
  <c r="G9" i="88"/>
  <c r="I9" i="88" s="1"/>
  <c r="G8" i="88"/>
  <c r="I8" i="88" s="1"/>
  <c r="I7" i="88"/>
  <c r="H7" i="88"/>
  <c r="G7" i="88"/>
  <c r="G6" i="88"/>
  <c r="H6" i="88" s="1"/>
  <c r="G5" i="88"/>
  <c r="I5" i="88" s="1"/>
  <c r="I4" i="88"/>
  <c r="G4" i="88"/>
  <c r="H4" i="88" s="1"/>
  <c r="I19" i="87"/>
  <c r="H19" i="87"/>
  <c r="G19" i="87"/>
  <c r="I18" i="87"/>
  <c r="H18" i="87"/>
  <c r="G18" i="87"/>
  <c r="I17" i="87"/>
  <c r="H17" i="87"/>
  <c r="G17" i="87"/>
  <c r="I16" i="87"/>
  <c r="H16" i="87"/>
  <c r="G16" i="87"/>
  <c r="I15" i="87"/>
  <c r="H15" i="87"/>
  <c r="G15" i="87"/>
  <c r="I14" i="87"/>
  <c r="H14" i="87"/>
  <c r="G14" i="87"/>
  <c r="H13" i="87"/>
  <c r="G13" i="87"/>
  <c r="I13" i="87" s="1"/>
  <c r="H12" i="87"/>
  <c r="G12" i="87"/>
  <c r="I12" i="87" s="1"/>
  <c r="H11" i="87"/>
  <c r="G11" i="87"/>
  <c r="I11" i="87" s="1"/>
  <c r="H9" i="87"/>
  <c r="G9" i="87" s="1"/>
  <c r="I9" i="87" s="1"/>
  <c r="I8" i="87"/>
  <c r="I7" i="87"/>
  <c r="H7" i="87"/>
  <c r="G7" i="87"/>
  <c r="H6" i="87"/>
  <c r="G6" i="87"/>
  <c r="H5" i="87"/>
  <c r="G5" i="87"/>
  <c r="H4" i="87"/>
  <c r="G4" i="87"/>
  <c r="I17" i="86"/>
  <c r="I16" i="86"/>
  <c r="G16" i="86"/>
  <c r="H16" i="86" s="1"/>
  <c r="I15" i="86"/>
  <c r="H14" i="86"/>
  <c r="G14" i="86"/>
  <c r="I14" i="86" s="1"/>
  <c r="H13" i="86"/>
  <c r="G13" i="86"/>
  <c r="I13" i="86" s="1"/>
  <c r="H12" i="86"/>
  <c r="G12" i="86"/>
  <c r="I12" i="86" s="1"/>
  <c r="I11" i="86"/>
  <c r="H11" i="86"/>
  <c r="G11" i="86"/>
  <c r="I10" i="86"/>
  <c r="I9" i="86"/>
  <c r="G9" i="86"/>
  <c r="H9" i="86" s="1"/>
  <c r="G8" i="86"/>
  <c r="I8" i="86" s="1"/>
  <c r="G7" i="86"/>
  <c r="I7" i="86" s="1"/>
  <c r="G6" i="86"/>
  <c r="I6" i="86" s="1"/>
  <c r="I5" i="86"/>
  <c r="H5" i="86"/>
  <c r="G5" i="86"/>
  <c r="G4" i="86"/>
  <c r="I4" i="86" s="1"/>
  <c r="I14" i="84"/>
  <c r="I13" i="84"/>
  <c r="I12" i="84"/>
  <c r="H12" i="84"/>
  <c r="G12" i="84"/>
  <c r="H11" i="84"/>
  <c r="G11" i="84"/>
  <c r="I10" i="84"/>
  <c r="H10" i="84"/>
  <c r="G10" i="84"/>
  <c r="I9" i="84"/>
  <c r="H9" i="84"/>
  <c r="G9" i="84"/>
  <c r="I8" i="84"/>
  <c r="H8" i="84"/>
  <c r="G8" i="84"/>
  <c r="I7" i="84"/>
  <c r="H7" i="84"/>
  <c r="G7" i="84"/>
  <c r="I6" i="84"/>
  <c r="H5" i="84"/>
  <c r="G5" i="84"/>
  <c r="I4" i="84"/>
  <c r="G4" i="84"/>
  <c r="H4" i="84" s="1"/>
  <c r="H4" i="96" l="1"/>
  <c r="H4" i="95"/>
  <c r="H4" i="94"/>
  <c r="H4" i="93"/>
  <c r="H4" i="92"/>
  <c r="H7" i="91"/>
  <c r="H12" i="91"/>
  <c r="H7" i="90"/>
  <c r="H12" i="90"/>
  <c r="H5" i="89"/>
  <c r="H8" i="89"/>
  <c r="H6" i="89"/>
  <c r="H4" i="89"/>
  <c r="H7" i="89"/>
  <c r="H17" i="88"/>
  <c r="H9" i="88"/>
  <c r="I6" i="88"/>
  <c r="H13" i="88"/>
  <c r="H21" i="88"/>
  <c r="H5" i="88"/>
  <c r="H8" i="88"/>
  <c r="H19" i="88"/>
  <c r="H18" i="88"/>
  <c r="H8" i="86"/>
  <c r="H6" i="86"/>
  <c r="H4" i="86"/>
  <c r="H7" i="86"/>
  <c r="I19" i="74"/>
  <c r="I18" i="74"/>
  <c r="I17" i="82"/>
  <c r="I16" i="82"/>
  <c r="I15" i="82"/>
  <c r="I14" i="82"/>
  <c r="I13" i="82"/>
  <c r="I12" i="82"/>
  <c r="I11" i="82"/>
  <c r="I10" i="82"/>
  <c r="G9" i="82"/>
  <c r="G8" i="82"/>
  <c r="G7" i="82"/>
  <c r="G6" i="82"/>
  <c r="G5" i="82"/>
  <c r="G4" i="82"/>
  <c r="I11" i="81"/>
  <c r="I10" i="81"/>
  <c r="I9" i="81"/>
  <c r="I8" i="81"/>
  <c r="I7" i="81"/>
  <c r="I6" i="81"/>
  <c r="I5" i="81"/>
  <c r="I4" i="81"/>
  <c r="I17" i="79"/>
  <c r="I16" i="79"/>
  <c r="I15" i="79"/>
  <c r="I14" i="79"/>
  <c r="I13" i="79"/>
  <c r="I12" i="79"/>
  <c r="I11" i="79"/>
  <c r="I10" i="79"/>
  <c r="G9" i="79"/>
  <c r="G8" i="79"/>
  <c r="G7" i="79"/>
  <c r="G6" i="79"/>
  <c r="G5" i="79"/>
  <c r="G4" i="79"/>
  <c r="H6" i="57"/>
  <c r="I11" i="80"/>
  <c r="I10" i="80"/>
  <c r="I9" i="80"/>
  <c r="I8" i="80"/>
  <c r="I7" i="80"/>
  <c r="I6" i="80"/>
  <c r="I5" i="80"/>
  <c r="I4" i="80"/>
  <c r="G5" i="60"/>
  <c r="H5" i="60" s="1"/>
  <c r="G4" i="60"/>
  <c r="H4" i="60" s="1"/>
  <c r="G3" i="60"/>
  <c r="H3" i="60" s="1"/>
  <c r="G2" i="60"/>
  <c r="H2" i="60" s="1"/>
  <c r="G5" i="59"/>
  <c r="H5" i="59" s="1"/>
  <c r="I4" i="59"/>
  <c r="I3" i="59"/>
  <c r="G2" i="59"/>
  <c r="H2" i="59" s="1"/>
  <c r="I4" i="57"/>
  <c r="I13" i="57"/>
  <c r="I12" i="57"/>
  <c r="I11" i="57"/>
  <c r="I10" i="57"/>
  <c r="I9" i="57"/>
  <c r="I8" i="57"/>
  <c r="I7" i="57"/>
  <c r="G5" i="57"/>
  <c r="H5" i="57" s="1"/>
  <c r="G6" i="57"/>
  <c r="G4" i="57"/>
  <c r="I6" i="56"/>
  <c r="I14" i="56"/>
  <c r="I13" i="56"/>
  <c r="I11" i="56"/>
  <c r="I10" i="56"/>
  <c r="G12" i="56"/>
  <c r="H12" i="56" s="1"/>
  <c r="G11" i="56"/>
  <c r="H11" i="56" s="1"/>
  <c r="G10" i="56"/>
  <c r="H10" i="56" s="1"/>
  <c r="G9" i="56"/>
  <c r="H9" i="56" s="1"/>
  <c r="G8" i="56"/>
  <c r="H8" i="56" s="1"/>
  <c r="G7" i="56"/>
  <c r="H7" i="56" s="1"/>
  <c r="G6" i="56"/>
  <c r="H6" i="56" s="1"/>
  <c r="G5" i="56"/>
  <c r="H5" i="56" s="1"/>
  <c r="G4" i="56"/>
  <c r="H4" i="56" s="1"/>
  <c r="G4" i="55"/>
  <c r="G13" i="55"/>
  <c r="G12" i="55"/>
  <c r="G11" i="55"/>
  <c r="G10" i="55"/>
  <c r="H10" i="55" s="1"/>
  <c r="G9" i="55"/>
  <c r="G8" i="55"/>
  <c r="G7" i="55"/>
  <c r="G6" i="55"/>
  <c r="G5" i="55"/>
  <c r="H5" i="55" s="1"/>
  <c r="G4" i="54"/>
  <c r="G12" i="53"/>
  <c r="H12" i="53" s="1"/>
  <c r="I11" i="53"/>
  <c r="I10" i="53"/>
  <c r="I8" i="53"/>
  <c r="H9" i="53"/>
  <c r="G9" i="53"/>
  <c r="G8" i="53"/>
  <c r="H8" i="53" s="1"/>
  <c r="G7" i="53"/>
  <c r="H7" i="53" s="1"/>
  <c r="I6" i="53"/>
  <c r="I5" i="53"/>
  <c r="I4" i="53"/>
  <c r="I17" i="66"/>
  <c r="I16" i="66"/>
  <c r="G16" i="66"/>
  <c r="I15" i="66"/>
  <c r="G14" i="66"/>
  <c r="G13" i="66"/>
  <c r="G12" i="66"/>
  <c r="G11" i="66"/>
  <c r="I10" i="66"/>
  <c r="I9" i="66"/>
  <c r="G9" i="66"/>
  <c r="G8" i="66"/>
  <c r="G7" i="66"/>
  <c r="G5" i="66"/>
  <c r="H5" i="66" s="1"/>
  <c r="G4" i="66"/>
  <c r="I7" i="65"/>
  <c r="I6" i="65"/>
  <c r="I5" i="65"/>
  <c r="I4" i="65"/>
  <c r="I23" i="64"/>
  <c r="H23" i="64"/>
  <c r="G22" i="64"/>
  <c r="H22" i="64" s="1"/>
  <c r="G21" i="64"/>
  <c r="I20" i="64"/>
  <c r="G20" i="64"/>
  <c r="G19" i="64"/>
  <c r="G18" i="64"/>
  <c r="G16" i="64"/>
  <c r="G17" i="64"/>
  <c r="G15" i="64"/>
  <c r="H15" i="64" s="1"/>
  <c r="I14" i="64"/>
  <c r="H14" i="64"/>
  <c r="G14" i="64"/>
  <c r="I12" i="64"/>
  <c r="I11" i="64"/>
  <c r="I10" i="64"/>
  <c r="G13" i="64"/>
  <c r="H13" i="64" s="1"/>
  <c r="G12" i="64"/>
  <c r="G11" i="64"/>
  <c r="G10" i="64"/>
  <c r="G9" i="64"/>
  <c r="H13" i="63"/>
  <c r="H12" i="63"/>
  <c r="H11" i="63"/>
  <c r="I19" i="63"/>
  <c r="I18" i="63"/>
  <c r="I17" i="63"/>
  <c r="I16" i="63"/>
  <c r="I15" i="63"/>
  <c r="I14" i="63"/>
  <c r="G19" i="63"/>
  <c r="G18" i="63"/>
  <c r="G17" i="63"/>
  <c r="G16" i="63"/>
  <c r="G15" i="63"/>
  <c r="G14" i="63"/>
  <c r="G13" i="63"/>
  <c r="G12" i="63"/>
  <c r="G11" i="63"/>
  <c r="H9" i="63"/>
  <c r="G9" i="63" s="1"/>
  <c r="I8" i="63"/>
  <c r="I7" i="63"/>
  <c r="G7" i="63"/>
  <c r="G6" i="63"/>
  <c r="G5" i="63"/>
  <c r="G4" i="63"/>
  <c r="I14" i="62"/>
  <c r="I13" i="62"/>
  <c r="I12" i="62"/>
  <c r="I6" i="62"/>
  <c r="I10" i="62"/>
  <c r="I9" i="62"/>
  <c r="I8" i="62"/>
  <c r="G12" i="62"/>
  <c r="G11" i="62"/>
  <c r="G10" i="62"/>
  <c r="G9" i="62"/>
  <c r="G8" i="62"/>
  <c r="G7" i="62"/>
  <c r="I7" i="62" s="1"/>
  <c r="G5" i="62"/>
  <c r="I4" i="62"/>
  <c r="G4" i="62"/>
  <c r="I39" i="58"/>
  <c r="H39" i="58"/>
  <c r="G39" i="58"/>
  <c r="H38" i="58"/>
  <c r="G38" i="58"/>
  <c r="I38" i="58" s="1"/>
  <c r="I37" i="58"/>
  <c r="H37" i="58"/>
  <c r="G37" i="58"/>
  <c r="H36" i="58"/>
  <c r="G36" i="58"/>
  <c r="I36" i="58" s="1"/>
  <c r="I35" i="58"/>
  <c r="H35" i="58"/>
  <c r="G35" i="58"/>
  <c r="I34" i="58"/>
  <c r="H34" i="58"/>
  <c r="G34" i="58"/>
  <c r="I33" i="58"/>
  <c r="H33" i="58"/>
  <c r="G33" i="58"/>
  <c r="H32" i="58"/>
  <c r="G32" i="58"/>
  <c r="I32" i="58" s="1"/>
  <c r="I31" i="58"/>
  <c r="H31" i="58"/>
  <c r="G31" i="58"/>
  <c r="H30" i="58"/>
  <c r="G30" i="58"/>
  <c r="I30" i="58" s="1"/>
  <c r="I29" i="58"/>
  <c r="H29" i="58"/>
  <c r="G29" i="58"/>
  <c r="I28" i="58"/>
  <c r="H28" i="58"/>
  <c r="G28" i="58"/>
  <c r="I27" i="58"/>
  <c r="H27" i="58"/>
  <c r="G27" i="58"/>
  <c r="H26" i="58"/>
  <c r="G26" i="58"/>
  <c r="I26" i="58" s="1"/>
  <c r="I17" i="58"/>
  <c r="H17" i="58"/>
  <c r="G17" i="58"/>
  <c r="H16" i="58"/>
  <c r="G16" i="58"/>
  <c r="I16" i="58" s="1"/>
  <c r="I15" i="58"/>
  <c r="H15" i="58"/>
  <c r="G15" i="58"/>
  <c r="I14" i="58"/>
  <c r="H14" i="58"/>
  <c r="G14" i="58"/>
  <c r="I13" i="58"/>
  <c r="H13" i="58"/>
  <c r="G13" i="58"/>
  <c r="H12" i="58"/>
  <c r="G12" i="58"/>
  <c r="I12" i="58" s="1"/>
  <c r="I11" i="58"/>
  <c r="H11" i="58"/>
  <c r="G11" i="58"/>
  <c r="I10" i="58"/>
  <c r="H10" i="58"/>
  <c r="G10" i="58"/>
  <c r="I9" i="58"/>
  <c r="H9" i="58"/>
  <c r="G9" i="58"/>
  <c r="H8" i="58"/>
  <c r="G8" i="58"/>
  <c r="I8" i="58" s="1"/>
  <c r="I7" i="58"/>
  <c r="H7" i="58"/>
  <c r="G7" i="58"/>
  <c r="H6" i="58"/>
  <c r="G6" i="58"/>
  <c r="I6" i="58" s="1"/>
  <c r="H5" i="58"/>
  <c r="H4" i="58"/>
  <c r="I5" i="58"/>
  <c r="G5" i="58"/>
  <c r="G4" i="58"/>
  <c r="I5" i="56" l="1"/>
  <c r="I9" i="82"/>
  <c r="I8" i="82"/>
  <c r="I7" i="82"/>
  <c r="H6" i="82"/>
  <c r="I5" i="82"/>
  <c r="H4" i="82"/>
  <c r="H9" i="79"/>
  <c r="H7" i="79"/>
  <c r="H5" i="79"/>
  <c r="G3" i="59"/>
  <c r="H3" i="59" s="1"/>
  <c r="H9" i="55"/>
  <c r="H9" i="66"/>
  <c r="H8" i="82" l="1"/>
  <c r="I4" i="82"/>
  <c r="H9" i="82"/>
  <c r="I6" i="82"/>
  <c r="H5" i="82"/>
  <c r="H7" i="82"/>
  <c r="I51" i="47"/>
  <c r="H51" i="47"/>
  <c r="G51" i="47"/>
  <c r="H50" i="47"/>
  <c r="G50" i="47"/>
  <c r="I50" i="47" s="1"/>
  <c r="I49" i="47"/>
  <c r="H49" i="47"/>
  <c r="G49" i="47"/>
  <c r="H48" i="47"/>
  <c r="G48" i="47"/>
  <c r="I48" i="47" s="1"/>
  <c r="I47" i="47"/>
  <c r="H47" i="47"/>
  <c r="G47" i="47"/>
  <c r="H46" i="47"/>
  <c r="G46" i="47"/>
  <c r="I46" i="47" s="1"/>
  <c r="I45" i="47"/>
  <c r="H45" i="47"/>
  <c r="G45" i="47"/>
  <c r="H44" i="47"/>
  <c r="G44" i="47"/>
  <c r="I44" i="47" s="1"/>
  <c r="I43" i="47"/>
  <c r="H43" i="47"/>
  <c r="G43" i="47"/>
  <c r="H42" i="47"/>
  <c r="G42" i="47"/>
  <c r="I42" i="47" s="1"/>
  <c r="I41" i="47"/>
  <c r="H41" i="47"/>
  <c r="G41" i="47"/>
  <c r="H40" i="47"/>
  <c r="G40" i="47"/>
  <c r="I40" i="47" s="1"/>
  <c r="I39" i="47"/>
  <c r="H39" i="47"/>
  <c r="G39" i="47"/>
  <c r="H38" i="47"/>
  <c r="G38" i="47"/>
  <c r="I38" i="47" s="1"/>
  <c r="I37" i="47"/>
  <c r="H37" i="47"/>
  <c r="G37" i="47"/>
  <c r="H36" i="47"/>
  <c r="G36" i="47"/>
  <c r="I36" i="47" s="1"/>
  <c r="I35" i="47"/>
  <c r="H35" i="47"/>
  <c r="G35" i="47"/>
  <c r="H34" i="47"/>
  <c r="G34" i="47"/>
  <c r="I34" i="47" s="1"/>
  <c r="I33" i="47"/>
  <c r="H33" i="47"/>
  <c r="G33" i="47"/>
  <c r="H32" i="47"/>
  <c r="G32" i="47"/>
  <c r="I32" i="47" s="1"/>
  <c r="I31" i="47"/>
  <c r="H31" i="47"/>
  <c r="G31" i="47"/>
  <c r="H30" i="47"/>
  <c r="G30" i="47"/>
  <c r="I30" i="47" s="1"/>
  <c r="I29" i="47"/>
  <c r="H29" i="47"/>
  <c r="G29" i="47"/>
  <c r="H28" i="47"/>
  <c r="G28" i="47"/>
  <c r="I28" i="47" s="1"/>
  <c r="I27" i="47"/>
  <c r="H27" i="47"/>
  <c r="G27" i="47"/>
  <c r="H26" i="47"/>
  <c r="G26" i="47"/>
  <c r="I26" i="47" s="1"/>
  <c r="I25" i="47"/>
  <c r="H25" i="47"/>
  <c r="G25" i="47"/>
  <c r="H24" i="47"/>
  <c r="G24" i="47"/>
  <c r="I24" i="47" s="1"/>
  <c r="I23" i="47"/>
  <c r="H23" i="47"/>
  <c r="G23" i="47"/>
  <c r="H22" i="47"/>
  <c r="G22" i="47"/>
  <c r="I22" i="47" s="1"/>
  <c r="I21" i="47"/>
  <c r="H21" i="47"/>
  <c r="G21" i="47"/>
  <c r="H20" i="47"/>
  <c r="G20" i="47"/>
  <c r="I20" i="47" s="1"/>
  <c r="I19" i="47"/>
  <c r="H19" i="47"/>
  <c r="G19" i="47"/>
  <c r="H18" i="47"/>
  <c r="G18" i="47"/>
  <c r="I18" i="47" s="1"/>
  <c r="I17" i="47"/>
  <c r="H17" i="47"/>
  <c r="G17" i="47"/>
  <c r="H16" i="47"/>
  <c r="G16" i="47"/>
  <c r="I16" i="47" s="1"/>
  <c r="I15" i="47"/>
  <c r="H15" i="47"/>
  <c r="G15" i="47"/>
  <c r="H14" i="47"/>
  <c r="G14" i="47"/>
  <c r="I14" i="47" s="1"/>
  <c r="I13" i="47"/>
  <c r="H13" i="47"/>
  <c r="G13" i="47"/>
  <c r="H12" i="47"/>
  <c r="G12" i="47"/>
  <c r="I12" i="47" s="1"/>
  <c r="I11" i="47"/>
  <c r="H11" i="47"/>
  <c r="G11" i="47"/>
  <c r="H10" i="47"/>
  <c r="G10" i="47"/>
  <c r="I10" i="47" s="1"/>
  <c r="I9" i="47"/>
  <c r="H9" i="47"/>
  <c r="G9" i="47"/>
  <c r="H8" i="47"/>
  <c r="G8" i="47"/>
  <c r="I8" i="47" s="1"/>
  <c r="I7" i="47"/>
  <c r="H7" i="47"/>
  <c r="G7" i="47"/>
  <c r="H6" i="47"/>
  <c r="G6" i="47"/>
  <c r="I6" i="47" s="1"/>
  <c r="H5" i="47"/>
  <c r="I5" i="47"/>
  <c r="G5" i="47"/>
  <c r="I8" i="79"/>
  <c r="I7" i="79"/>
  <c r="I6" i="79"/>
  <c r="I5" i="79"/>
  <c r="I4" i="79"/>
  <c r="H8" i="79" l="1"/>
  <c r="I9" i="79"/>
  <c r="H4" i="79"/>
  <c r="H6" i="79"/>
  <c r="H13" i="66" l="1"/>
  <c r="I13" i="66"/>
  <c r="I12" i="56" l="1"/>
  <c r="H5" i="62"/>
  <c r="H16" i="66" l="1"/>
  <c r="H14" i="66"/>
  <c r="I14" i="66"/>
  <c r="H12" i="66"/>
  <c r="I12" i="66"/>
  <c r="I8" i="66"/>
  <c r="I7" i="66"/>
  <c r="G6" i="66"/>
  <c r="H6" i="66" s="1"/>
  <c r="I5" i="66"/>
  <c r="H4" i="66"/>
  <c r="H20" i="64"/>
  <c r="H19" i="64"/>
  <c r="H17" i="64"/>
  <c r="H16" i="64"/>
  <c r="I16" i="64"/>
  <c r="I13" i="64"/>
  <c r="H12" i="64"/>
  <c r="H11" i="64"/>
  <c r="H10" i="64"/>
  <c r="I9" i="64"/>
  <c r="G8" i="64"/>
  <c r="I8" i="64" s="1"/>
  <c r="G7" i="64"/>
  <c r="H7" i="64" s="1"/>
  <c r="G6" i="64"/>
  <c r="H6" i="64" s="1"/>
  <c r="G5" i="64"/>
  <c r="I5" i="64" s="1"/>
  <c r="G4" i="64"/>
  <c r="I4" i="64" s="1"/>
  <c r="H19" i="63"/>
  <c r="H18" i="63"/>
  <c r="H17" i="63"/>
  <c r="H16" i="63"/>
  <c r="H15" i="63"/>
  <c r="H14" i="63"/>
  <c r="I13" i="63"/>
  <c r="I12" i="63"/>
  <c r="I11" i="63"/>
  <c r="I9" i="63"/>
  <c r="H7" i="63"/>
  <c r="H6" i="63"/>
  <c r="H5" i="63"/>
  <c r="H4" i="63"/>
  <c r="H12" i="62"/>
  <c r="H11" i="62"/>
  <c r="H10" i="62"/>
  <c r="H9" i="62"/>
  <c r="H8" i="62"/>
  <c r="H7" i="62"/>
  <c r="H4" i="62"/>
  <c r="I11" i="66" l="1"/>
  <c r="H11" i="66"/>
  <c r="I18" i="64"/>
  <c r="H18" i="64"/>
  <c r="I6" i="64"/>
  <c r="I21" i="64"/>
  <c r="H21" i="64"/>
  <c r="I17" i="64"/>
  <c r="H8" i="66"/>
  <c r="I4" i="66"/>
  <c r="I6" i="66"/>
  <c r="H7" i="66"/>
  <c r="I7" i="64"/>
  <c r="I15" i="64"/>
  <c r="I19" i="64"/>
  <c r="H4" i="64"/>
  <c r="H8" i="64"/>
  <c r="H5" i="64"/>
  <c r="H9" i="64"/>
  <c r="I4" i="56" l="1"/>
  <c r="H4" i="61"/>
  <c r="H3" i="61"/>
  <c r="H2" i="61"/>
  <c r="I5" i="57" l="1"/>
  <c r="I6" i="57" l="1"/>
  <c r="I4" i="61" l="1"/>
  <c r="G4" i="61"/>
  <c r="I3" i="61"/>
  <c r="G3" i="61"/>
  <c r="I2" i="61"/>
  <c r="G2" i="61"/>
  <c r="I2" i="60"/>
  <c r="I5" i="59"/>
  <c r="I2" i="59"/>
  <c r="I4" i="58"/>
  <c r="H4" i="57"/>
  <c r="I8" i="56"/>
  <c r="H13" i="55"/>
  <c r="H12" i="55"/>
  <c r="H11" i="55"/>
  <c r="H8" i="55"/>
  <c r="H7" i="55"/>
  <c r="H6" i="55"/>
  <c r="H4" i="55"/>
  <c r="I4" i="54"/>
  <c r="I9" i="53"/>
  <c r="I7" i="53"/>
  <c r="H4" i="54" l="1"/>
  <c r="I9" i="56"/>
  <c r="I7" i="56"/>
  <c r="I12" i="53"/>
  <c r="H4" i="47" l="1"/>
  <c r="G4" i="47"/>
  <c r="I4" i="47" s="1"/>
</calcChain>
</file>

<file path=xl/sharedStrings.xml><?xml version="1.0" encoding="utf-8"?>
<sst xmlns="http://schemas.openxmlformats.org/spreadsheetml/2006/main" count="2395" uniqueCount="585">
  <si>
    <t>Cecha</t>
  </si>
  <si>
    <t>Standardy dostępności Warszawy</t>
  </si>
  <si>
    <t>Parametry furtek prowadzących na teren (szerokość, sposób otwierania, progi)</t>
  </si>
  <si>
    <t>Min. 150</t>
  </si>
  <si>
    <t>Nachylenie dojść i ew. przeszkody</t>
  </si>
  <si>
    <t>Utwardzone dojścia o szerokości min.</t>
  </si>
  <si>
    <t xml:space="preserve">Wystarczające 
i równomierne oświetlenie dojść
</t>
  </si>
  <si>
    <t>Czy jest zapewniony dostęp do miejsca parkingowego(-ych) poprzez obniżenie/podwyższenie/jednakowy poziom całości/fragmentu chodnika/nawierzchni miejsca postojowego?</t>
  </si>
  <si>
    <t>Rampa przykrawężnikowa szer. min. 2,50m. Maksymalna wysokość krawężnika 2 cm, pochylenie 8,3%</t>
  </si>
  <si>
    <t xml:space="preserve">Czy dojście do miejsca postojowego jest utwardzone i ma odpowiednią szerokość i nie znajdują się w nim progi, schody? </t>
  </si>
  <si>
    <t>-</t>
  </si>
  <si>
    <t xml:space="preserve">Zapewnienie dojścia ale bez podania parametrów  - Szerokość min. 1,0 m </t>
  </si>
  <si>
    <t xml:space="preserve">Czy liczba wyznaczonych miejsc </t>
  </si>
  <si>
    <t>Dla terenu przy budynku lecz poza pasem drogowym - liczba nieokreślona (wg WTB), dla znajdujących się w pasie drogowym: 1 stanowisko – jeżeli liczba stanowisk wynosi 6–15; 2) 2 stanowiska – jeżeli liczba stanowisk wynosi 16–40; 3) 3 stanowiska – jeżeli liczba stanowisk wynosi 41–100; 4) 4% ogólnej liczby stanowisk jeżeli ogólna liczba stanowisk wynosi więcej niż 100.</t>
  </si>
  <si>
    <t>Dla parkingów znajdujących się w pasie i poza pasem drogowym: do 15 stanowisk: 1 stanowisko, 16 – 40 stanowisk: 2 stanowiska, 41 – 100 stanowisk: 3 stanowiska, powyżej  100 stanowisk: 4% ogólnej liczby stanowisk postojowych</t>
  </si>
  <si>
    <t>Czy parametry oraz oznakowanie wyznaczonych miejsc spełniają (WTB,WPD, Rozp. o znakach i sygnałach dźwiękowych oraz Zarządzenie 1682/2017)?</t>
  </si>
  <si>
    <t>w taki sposób, by nie zawężały trasy wolnej od przeszkód w ciągu pieszym, przy którym się znajdują</t>
  </si>
  <si>
    <t>Min 120 cm</t>
  </si>
  <si>
    <t>Liczba stopni</t>
  </si>
  <si>
    <t>Wysokość stopnia</t>
  </si>
  <si>
    <t>Maks. 15 cm</t>
  </si>
  <si>
    <t>Szerokość stopnia</t>
  </si>
  <si>
    <t>Min 35 cm</t>
  </si>
  <si>
    <t>Schody ażurowe</t>
  </si>
  <si>
    <t>Kontrasty</t>
  </si>
  <si>
    <t>Krawędzie stopni wyróżniają się kolorem kontrastującym z kolorem posadzki</t>
  </si>
  <si>
    <t>Balustrady</t>
  </si>
  <si>
    <t>schody służące do pokonania wysokości przekraczającej 50 cm, powinny być zaopatrzone w balustrady lub inne zabezpieczenia od strony przestrzeni otwartej, o wysokości 110 cm.</t>
  </si>
  <si>
    <t>Poręcz oddalona od ściany</t>
  </si>
  <si>
    <t>Poręcze przy schodach i pochylniach powinny być oddalone od ścian, do których są mocowane, co najmniej 0,05 m</t>
  </si>
  <si>
    <t>dodatkowa balustrada pośrednia</t>
  </si>
  <si>
    <t>Pochwyty – wysokość</t>
  </si>
  <si>
    <t>Pochwyty - przekrój</t>
  </si>
  <si>
    <t>Min 120 cm, zalecana min 200</t>
  </si>
  <si>
    <t>Maks. do 15 cm, zalecana 12</t>
  </si>
  <si>
    <t>Niedopuszczalne</t>
  </si>
  <si>
    <t>od 3 do 10</t>
  </si>
  <si>
    <t>krawędzie pierwszego i ostatniego stopnia każdego biegu schodów zostały oznakowane pasami w jednolitym, skontrastowanym z tłem kolorze, znajdującymi się na powierzchni pionowej i poziomej stopnia, w przypadku biegu o trzech stopniach wymagane jest oznakowanie wszystkich trzech stopni.</t>
  </si>
  <si>
    <t>schody zewnętrzne i wewnętrzne, służące do pokonania wysokości przekraczającej 50 cm, powinny być zaopatrzone w balustrady lub inne zabezpieczenia od strony przestrzeni otwartej, o wysokości 110 cm,</t>
  </si>
  <si>
    <t>Wymaga się, aby poręcze były oddalone od ściany o min. 5 cm</t>
  </si>
  <si>
    <t>3,5-4,5 cm</t>
  </si>
  <si>
    <t>Przed drzwiami znajduje się przestrzeń manewrowa dla osób na wózkach o wymiarach</t>
  </si>
  <si>
    <t>Przed drzwiami brak kratek, wycieraczek, skrobaczek lub innych elementów wystających powyżej poziomu nawierzchni, zagłębień w posadzce (dopuszczalne są wycieraczki systemowe, zlicowane z podłożem).</t>
  </si>
  <si>
    <t>Za drzwiami znajduje się przestrzeń manewrowa dla osób na wózkach o wymiarach</t>
  </si>
  <si>
    <t>Szerokość drzwi w świetle ościeżnicy</t>
  </si>
  <si>
    <t>Wysokość progu</t>
  </si>
  <si>
    <t xml:space="preserve">Oznaczenia drzwi szklane i przeszklenia </t>
  </si>
  <si>
    <t>Wysokość uchwyty i klamki oraz włączniki, domofony, dzwonki i przyciski w strefie wejściowej</t>
  </si>
  <si>
    <t>Wiatrołap – powierzchnia poza obrysem otwierania skrzydeł drzwiowych</t>
  </si>
  <si>
    <t>Min. 90</t>
  </si>
  <si>
    <t>Max 2 cm</t>
  </si>
  <si>
    <t xml:space="preserve">oznaczone przynajmniej dwoma pasami kontrastującymi kolorystycznie z tłem umieszczonymi na wysokości:
− 130–140 cm (pierwszy pas),
− 90–100 cm (drugi pas);
</t>
  </si>
  <si>
    <t>na wysokości 80-110 cm od poziomu posadzki</t>
  </si>
  <si>
    <t>Min. 150 na 150 cm</t>
  </si>
  <si>
    <t xml:space="preserve">150 x 150
Rekomendowane 200 x 200
</t>
  </si>
  <si>
    <t>oznaczone przynajmniej dwoma pasami kontrastującymi kolorystycznie z tłem umieszczonymi na wysokości:
− 130–140 cm (pierwszy pas),
− 90–100 cm (drugi pas);</t>
  </si>
  <si>
    <t>Max 0,5 cm</t>
  </si>
  <si>
    <t>Szerokość</t>
  </si>
  <si>
    <t>Opisane w tabeli stopnie</t>
  </si>
  <si>
    <t>Opisana w tabeli pochylnia</t>
  </si>
  <si>
    <t xml:space="preserve">14 stopni – w budynku opieki zdrowotnej,
17 stopni – w innych budynkach.
</t>
  </si>
  <si>
    <t>Szerokość drzwi do kabiny</t>
  </si>
  <si>
    <t xml:space="preserve">160 cm do najbliższej przegrody / ściany </t>
  </si>
  <si>
    <t>szerokość co najmniej 110 cm i długość 140 cm</t>
  </si>
  <si>
    <t xml:space="preserve">Poręcze - górna część powinna znajdować się na wysokości 90 cm </t>
  </si>
  <si>
    <t>Min 85 cm</t>
  </si>
  <si>
    <t>80 – 120 cm od posadzki</t>
  </si>
  <si>
    <t>Min. 160 cm x 150 cm</t>
  </si>
  <si>
    <t>Poręcz - górna część powinna znajdować się na wysokości 90 cm</t>
  </si>
  <si>
    <t xml:space="preserve">Min 85 cm
Zalecane 90 cm
</t>
  </si>
  <si>
    <t>80 – 110 cm od posadzki</t>
  </si>
  <si>
    <t>przyciski piętrowe powinny znajdować się nad przyciskami alarmu i drzwi</t>
  </si>
  <si>
    <t>powinien wystawać 5 mm (±1mm) ponad pozostałe przyciski i dodatkowo wyróżniony</t>
  </si>
  <si>
    <t>Jeżeli na terenie obiektu znajdują się toalety,</t>
  </si>
  <si>
    <t>Szerokość drzwi</t>
  </si>
  <si>
    <t xml:space="preserve">Czy jest możliwy transfer boczny przynajmniej z jednej strony? TAK/NIE.
Jeżeli jest to 
Przestrzeń wolna od przeszkód:
po lewej stronie miski
po prawej stronie miski
</t>
  </si>
  <si>
    <t>Wysokość górnej krawędzi miski ustępowej;</t>
  </si>
  <si>
    <t>Poręcze - wysokość</t>
  </si>
  <si>
    <t>Poręcze – odległość od osi poręczy do osi muszli</t>
  </si>
  <si>
    <t>Poręcze – wystawanie przed miskę ustępową</t>
  </si>
  <si>
    <t>Wysokość wierzchu umywalki;  przestrzeń pod umywalką</t>
  </si>
  <si>
    <t>przynajmniej jedna kabina dostępna musi być przystosowana do potrzeb osób poruszających się na wózkach inwalidzkich</t>
  </si>
  <si>
    <t>min 90 cm</t>
  </si>
  <si>
    <t>Min. 150 cm na 150 cm</t>
  </si>
  <si>
    <t>Wymaga się, aby w budynku, na kondygnacjach dostępnych dla osób z niepełnosprawnością, co najmniej jedno z ogólnodostępnych pomieszczeń higienicznosanitarnych było dostosowane</t>
  </si>
  <si>
    <t>10 – 15 cm</t>
  </si>
  <si>
    <t xml:space="preserve">Wierzch umywalki na wys. 80-85 cm; 
przestrzeń pod umywalką min. 70 cm
</t>
  </si>
  <si>
    <t>Szerokość drzwi 90 cm</t>
  </si>
  <si>
    <t>wymagane</t>
  </si>
  <si>
    <t xml:space="preserve">Czytelna informacja wizualna o drogach ewakuacji </t>
  </si>
  <si>
    <t xml:space="preserve">Plan ewakuacji </t>
  </si>
  <si>
    <t>System powiadamiania alarmowego</t>
  </si>
  <si>
    <t>Oświetlenie awaryjne</t>
  </si>
  <si>
    <t>dźwiękowy system powiadamiania</t>
  </si>
  <si>
    <t>Ustawa (za prawem budowlanym)</t>
  </si>
  <si>
    <t>Rekomendacje za art. 6. ustawy</t>
  </si>
  <si>
    <t>Spełnia krajowe przepisy</t>
  </si>
  <si>
    <t>Spełnia warszawskie standardy  T/N</t>
  </si>
  <si>
    <t>podłużne do 5%</t>
  </si>
  <si>
    <t>poprzeczne do 2%</t>
  </si>
  <si>
    <t xml:space="preserve">podłużne dopuszczalne jak dla pochylni
</t>
  </si>
  <si>
    <t>oświetlenie elektryczne zapewniające bezpieczne użytkowanie po zapadnięciu zmroku</t>
  </si>
  <si>
    <t xml:space="preserve">zapewnia dobrą orientację </t>
  </si>
  <si>
    <t>zapewnia dobry poziom oświetlenia powierzchni poziomych i pionowych,− zapewnia jednolitą dystrybucję światła bez przesadnego kontrastu,</t>
  </si>
  <si>
    <t xml:space="preserve">zapewnia odpowiedni kierunek światła bez przesadnego zacienienia
</t>
  </si>
  <si>
    <t>Spełnia ustawę o zapewnianiu</t>
  </si>
  <si>
    <t>Jest</t>
  </si>
  <si>
    <t>Kolumna1</t>
  </si>
  <si>
    <t>Długość: 0° - 6,00m</t>
  </si>
  <si>
    <t>90° - 5,00m</t>
  </si>
  <si>
    <t>Szerokość 3,60m WTD</t>
  </si>
  <si>
    <t>poza pasami drogowymi (wg WTB) jest możliwość zmniejszenia szerokości do 2,5 m jeśli przy wsiadaniu/wysiadaniu można korzystać z przylegającego chodnika</t>
  </si>
  <si>
    <t>Nawierzchnia poza pasami drogowymi utwardzona lub gruntowa stabilizowana, w pasach drogowych twarda ulepszona (nie może być twarda nieulepszona - np. tłuczniowa, żwirowa, brukowana, żużlowa, gruntowa lub ażurowa) - wg WTD</t>
  </si>
  <si>
    <t xml:space="preserve">Oznaczenie poziomym (P-24) </t>
  </si>
  <si>
    <t xml:space="preserve">znakiem pionowym (D-18 „parking” lub D-18b „parking” zadaszony”) </t>
  </si>
  <si>
    <t>tabliczką T-29</t>
  </si>
  <si>
    <t xml:space="preserve">kolorem niebieskim
</t>
  </si>
  <si>
    <t xml:space="preserve">postaci piktogramów i strzałek kierunkowych informacja dotykowa
</t>
  </si>
  <si>
    <t>w postaci piktogramów i strzałek kierunkowych</t>
  </si>
  <si>
    <t>graficzny plan ewakuacji, zlokalizowany w łatwym do znalezienia miejscu</t>
  </si>
  <si>
    <t xml:space="preserve">zapewnienie oświetlenia awaryjnego (ewakuacyjnego i zapasowego) w pomieszczeniach i na drogach ewakuacyjnych. </t>
  </si>
  <si>
    <t>czy jest zainstalowana</t>
  </si>
  <si>
    <t>czy są oznaczenia</t>
  </si>
  <si>
    <t>zalecana</t>
  </si>
  <si>
    <t>Tak</t>
  </si>
  <si>
    <t>Nie</t>
  </si>
  <si>
    <t>Uwagi</t>
  </si>
  <si>
    <t xml:space="preserve">Rampa o szerokości min. 0,90m </t>
  </si>
  <si>
    <t>Rampa o przewyższeniu do 15 cm (WTD)</t>
  </si>
  <si>
    <t xml:space="preserve">Rampa o pochyleniu do 15% </t>
  </si>
  <si>
    <t xml:space="preserve">Maks. 
Przedszkola / żłobki / opieka zdrowotna – 15 cm
</t>
  </si>
  <si>
    <t xml:space="preserve">Maks. 
Pozostała użyteczności publicznej 17,5 cm
</t>
  </si>
  <si>
    <t xml:space="preserve">45-48 cm;
</t>
  </si>
  <si>
    <t>30 – 35 cm</t>
  </si>
  <si>
    <t>długość 70 cm</t>
  </si>
  <si>
    <t>75 ‑ 85 cm (górna krawędź poręczy)</t>
  </si>
  <si>
    <t>dotykowy lub głosowy</t>
  </si>
  <si>
    <t>sposób wizualny</t>
  </si>
  <si>
    <t>dotykowy</t>
  </si>
  <si>
    <t>głosowy</t>
  </si>
  <si>
    <t>Za polskim prawem</t>
  </si>
  <si>
    <t xml:space="preserve">poprzeczne dopuszczalne do 2%, 
</t>
  </si>
  <si>
    <t xml:space="preserve">poza pasami drogowymi (wg WTB) jest możliwość zmniejszenia szerokości do 2,5 m jeśli przy wsiadaniu/wysiadaniu można korzystać z przylegającego chodnika
</t>
  </si>
  <si>
    <t>110 cm szerokości i 210 cm głębokości</t>
  </si>
  <si>
    <t xml:space="preserve">Ustawa </t>
  </si>
  <si>
    <t>Nie dotyczy</t>
  </si>
  <si>
    <t>jest</t>
  </si>
  <si>
    <t>nie jest</t>
  </si>
  <si>
    <t xml:space="preserve">Wymagana przestrzeń z jednej strony
Min. 90 cm x 140 cm
</t>
  </si>
  <si>
    <t>Długość miski</t>
  </si>
  <si>
    <t>Urządzenia ewakuacyjne - krzesła, maty, materace</t>
  </si>
  <si>
    <t>75 cm dolna</t>
  </si>
  <si>
    <t>110 górna</t>
  </si>
  <si>
    <t xml:space="preserve">Czy utrudnia dostęp użytkownikom wózków
</t>
  </si>
  <si>
    <t>Czy utrudnia dostęp użytkownikom wózków</t>
  </si>
  <si>
    <t>Szerokość min. 90 cm</t>
  </si>
  <si>
    <t>Szerokość 90-110 cm</t>
  </si>
  <si>
    <t>jednakowy poziom całości/fragmentu chodnika/nawierzchni miejsca postojowego?</t>
  </si>
  <si>
    <t>Różnica poziomów podłogi kabiny dźwigu i posadzki</t>
  </si>
  <si>
    <t>Poręcz</t>
  </si>
  <si>
    <t>Minimalne wymiary wewnętrzne kabiny</t>
  </si>
  <si>
    <t>Wolna przestrzeń przed wejściem do kabiny dźwigu</t>
  </si>
  <si>
    <t>Panel sterujący w kabinie - położenie</t>
  </si>
  <si>
    <t>Panel sterujący w kabinie – ułożenie przycisków</t>
  </si>
  <si>
    <t>Przycisk przystanku wyjściowego z budynku</t>
  </si>
  <si>
    <t>Umieszczenie</t>
  </si>
  <si>
    <t>Szerokość użytkowa</t>
  </si>
  <si>
    <t>Szerokości biegu większa niż 4 m</t>
  </si>
  <si>
    <t>Stopnie</t>
  </si>
  <si>
    <t>Pochylnia</t>
  </si>
  <si>
    <t>Przestrzeń wolną od przeszkód</t>
  </si>
  <si>
    <t>Zapewnienie informacji na temat rozkładu pomieszczeń w budynku,</t>
  </si>
  <si>
    <t>Zapewnienie wstępu do budynku osobie korzystającej z psa asystującego</t>
  </si>
  <si>
    <t>uwagi</t>
  </si>
  <si>
    <t>Prawo krajowe</t>
  </si>
  <si>
    <t>minimalna przestrzeń manewrowa wewnątrz  przebieralni</t>
  </si>
  <si>
    <t>150x150 cm</t>
  </si>
  <si>
    <t>na wysokości 45-48 cm</t>
  </si>
  <si>
    <t>szerokość siedzenia: 50 cm</t>
  </si>
  <si>
    <t>głębokość siedzenia: 45 cm</t>
  </si>
  <si>
    <t>dwa wieszaki na wysokości</t>
  </si>
  <si>
    <t>110 cm</t>
  </si>
  <si>
    <t>180 cm</t>
  </si>
  <si>
    <t>przycisk alarmowy</t>
  </si>
  <si>
    <t>wymiary kabin prysznicowych</t>
  </si>
  <si>
    <t>kabina natryskowa niezamknięta, stanowiąca wydzieloną część pomieszczeń
natrysków i umywalni zbiorowych: minimalna powierzchnia: 0,9 m2</t>
  </si>
  <si>
    <t>kabina natryskowa niezamknięta, stanowiąca wydzieloną część pomieszczeń
natrysków i umywalni zbiorowych: minimalna
szerokość 90 cm,</t>
  </si>
  <si>
    <t>kabina natryskowa zamknięta, wydzielona ściankami na całą wysokość
pomieszczenia: minimalna powierzchnia: 1,5 m2</t>
  </si>
  <si>
    <t>kabina natryskowa zamknięta, wydzielona ściankami na całą wysokość
pomieszczenia:  minimalna szerokość 90 cm</t>
  </si>
  <si>
    <t>kabina natryskowa zamknięta z urządzeniami przystosowanymi do korzystania
przez osoby z niepełnosprawnością: minimalna powierzchnia: 2,5 m2</t>
  </si>
  <si>
    <t>kabina natryskowa zamknięta z urządzeniami przystosowanymi do korzystania
przez osoby z niepełnosprawnością: minimalna
szerokość 150 cm</t>
  </si>
  <si>
    <t>minimalna przestrzeń manewrowa</t>
  </si>
  <si>
    <t>montaż baterii prysznicowej</t>
  </si>
  <si>
    <t>na ścianie, obok siedziska</t>
  </si>
  <si>
    <t>wysokość montażu półki na kosmetyki</t>
  </si>
  <si>
    <t>80-110 cm</t>
  </si>
  <si>
    <t>wysokość montażu dozownika kosmetyków</t>
  </si>
  <si>
    <t>Pokój nauczycielski</t>
  </si>
  <si>
    <t>Biblioteka</t>
  </si>
  <si>
    <t>Gabinet profilaktyki zdrowotnej</t>
  </si>
  <si>
    <t>Pokój specjalisty</t>
  </si>
  <si>
    <t>Gabinet stomatologiczny</t>
  </si>
  <si>
    <t>Pokój psychologa</t>
  </si>
  <si>
    <t>Pokój pedagoga</t>
  </si>
  <si>
    <t>Pokój logopedy</t>
  </si>
  <si>
    <t>Świetlica</t>
  </si>
  <si>
    <t>Sekretariat</t>
  </si>
  <si>
    <t>Pokój dyrektora</t>
  </si>
  <si>
    <t>Pokój zastępcy dyrektora</t>
  </si>
  <si>
    <t>Sala konferencyjna</t>
  </si>
  <si>
    <t>Sala gimnastyczna</t>
  </si>
  <si>
    <t>Siłownia</t>
  </si>
  <si>
    <t>Zaplecze pracowni fizycznej/chemicznej</t>
  </si>
  <si>
    <t>Poczekalnia dla rodziców</t>
  </si>
  <si>
    <t>Jadalnia</t>
  </si>
  <si>
    <t>Szatnia</t>
  </si>
  <si>
    <t>Sala lekcyjna 1</t>
  </si>
  <si>
    <t>Sala lekcyjna 2</t>
  </si>
  <si>
    <t>minimum 140 (dopuszczalne zawężenie do 90 cm na długości nie większej niż 1,5m)</t>
  </si>
  <si>
    <t>kabina natryskowa zamknięta z urządzeniami przystosowanymi do korzystania
przez osoby z niepełnosprawnością minimalna
szerokość 150 cm</t>
  </si>
  <si>
    <t>nr/nazwa pomieszczenia</t>
  </si>
  <si>
    <t>maks. 2 cm</t>
  </si>
  <si>
    <t>maks. 0,5 cm</t>
  </si>
  <si>
    <t>czy jest tłumacz PJM</t>
  </si>
  <si>
    <t>zalecane</t>
  </si>
  <si>
    <t>Nachylenie pochylni</t>
  </si>
  <si>
    <t>Różnica wysokości do 15 cm – pod dachem i bez dachu 15%</t>
  </si>
  <si>
    <t xml:space="preserve">Różnica wysokości do 15 cm – pod dachem i bez dachu 15%, </t>
  </si>
  <si>
    <t>Różnica wysokości do 50 cm – pod dachem 10%</t>
  </si>
  <si>
    <t>Różnica wysokości do 50 cm –  bez dachu 8%</t>
  </si>
  <si>
    <t>Różnica wysokości do 50 cm – bez dachu 8%</t>
  </si>
  <si>
    <t>Różnica wysokości powyżej 50 cm – pod dachem 8%,</t>
  </si>
  <si>
    <t>Różnica wysokości powyżej 50 cm – bez dachu 6%</t>
  </si>
  <si>
    <t>Szerokość biegu</t>
  </si>
  <si>
    <t>120 cm</t>
  </si>
  <si>
    <t xml:space="preserve">120 cm, w przypadku stosowania pochylni
szerszej wymagane jest wydzielenie pasa ruchu o szerokości 120 cm i obustronnych
poręczach
</t>
  </si>
  <si>
    <t>Długość pojedynczego odcinka</t>
  </si>
  <si>
    <t>Max.9 m</t>
  </si>
  <si>
    <t>Max 8 m</t>
  </si>
  <si>
    <t>Min. 140 cm</t>
  </si>
  <si>
    <t>Min .150 cm</t>
  </si>
  <si>
    <t>Szerokość spocznika</t>
  </si>
  <si>
    <t>minimalny wymiar powierzchni 150 cm na 150 cm</t>
  </si>
  <si>
    <t>Długość poziomej płaszczyzny na początku i na końcu pochylni.</t>
  </si>
  <si>
    <t>Min. 150 cm</t>
  </si>
  <si>
    <t>Wysokość krawężników</t>
  </si>
  <si>
    <t>Min. 7</t>
  </si>
  <si>
    <t>Min. 7 cm</t>
  </si>
  <si>
    <t>Poręcze</t>
  </si>
  <si>
    <t>Po obu stronach</t>
  </si>
  <si>
    <t>Poręcze na wysokości</t>
  </si>
  <si>
    <t>poręcz niższa 75 cm</t>
  </si>
  <si>
    <t>poręcz wyższa 90 cm</t>
  </si>
  <si>
    <t>Odstęp między poręczami</t>
  </si>
  <si>
    <t>od 100 cm do 110 cm</t>
  </si>
  <si>
    <t>Średnicę części chwytnej poręczy</t>
  </si>
  <si>
    <t>35mm</t>
  </si>
  <si>
    <t>3,5 – 4,5 cm</t>
  </si>
  <si>
    <t>Część chwytna poręczy oddalona od ściany</t>
  </si>
  <si>
    <t>o co najmniej 5 cm</t>
  </si>
  <si>
    <t>Minimalne wymiary platformy</t>
  </si>
  <si>
    <t>Wysokość blatu (do dolnej krawędzi blatu)</t>
  </si>
  <si>
    <t>Możliwość podjechania</t>
  </si>
  <si>
    <t>wejście bez schodów i pochylni</t>
  </si>
  <si>
    <t>Miejsca dla osób poruszających się na wózkach</t>
  </si>
  <si>
    <t>Oznaczenia foteli wypukłe</t>
  </si>
  <si>
    <t>Oznaczenia foteli brajl</t>
  </si>
  <si>
    <t>System audiodeskrypcji</t>
  </si>
  <si>
    <t>oferta specjalna</t>
  </si>
  <si>
    <t>dla kogo</t>
  </si>
  <si>
    <t>jaka</t>
  </si>
  <si>
    <t>BASEN</t>
  </si>
  <si>
    <t>Urządzenia pozwalające na transfer osoby do basenu</t>
  </si>
  <si>
    <t>Nie  dotyczy</t>
  </si>
  <si>
    <t>pochylnia umożliwiająca wjazd do basenu</t>
  </si>
  <si>
    <t xml:space="preserve">wózki basenowe </t>
  </si>
  <si>
    <t>oznakowanie kontrastowe zejścia (schody)</t>
  </si>
  <si>
    <t>Ne dotyczy</t>
  </si>
  <si>
    <t>oznakowanie kontrastowe zejścia (pochylnia / najazd)</t>
  </si>
  <si>
    <t>HALA / SALA SPORTOWA</t>
  </si>
  <si>
    <t>nawierzchnia antypoślizgowa</t>
  </si>
  <si>
    <t>nawierzchnia nie hamuje kół wózka</t>
  </si>
  <si>
    <t>zapewniono możliwość swobodnego poruszania się</t>
  </si>
  <si>
    <t>SIŁOWNIA</t>
  </si>
  <si>
    <t>elementy wyposażenia możliwe do użytkowania przez osoby na wózkach</t>
  </si>
  <si>
    <t>elementy wyposażenia nie utrudniają poruszania się w pomieszczeniu</t>
  </si>
  <si>
    <t>INNE</t>
  </si>
  <si>
    <t>informacja (komunikat o kończącym się czasie  / o zagrożeniu / inne)</t>
  </si>
  <si>
    <t>wizualna</t>
  </si>
  <si>
    <t>dźwiękowa / głosowa</t>
  </si>
  <si>
    <t>Prawo polskie</t>
  </si>
  <si>
    <t xml:space="preserve">czy można korzystać z własnego wózka czy konieczne jest przesiadanie się? </t>
  </si>
  <si>
    <t xml:space="preserve">Czy otwiera się do wewnątrz działki?
</t>
  </si>
  <si>
    <t xml:space="preserve">Czy kąt otwarcia wynosi minimum 110 st. ?
</t>
  </si>
  <si>
    <t xml:space="preserve">Min. 120 cm </t>
  </si>
  <si>
    <t>Podaj  szerokość/długość w cm  lub "Nie dotyczy"</t>
  </si>
  <si>
    <t>Wymiary spocznika, na którym występuje zmiana kierunku pochylni</t>
  </si>
  <si>
    <t>Tak - dotyczy</t>
  </si>
  <si>
    <t>Czy schody mają noski?</t>
  </si>
  <si>
    <t>Niedopuszczalne w „budynkach opieki zdrowotnej, a także budynkach zamieszkania zbiorowego przeznaczonych dla osób starszych oraz niepełnosprawnych”</t>
  </si>
  <si>
    <t xml:space="preserve">Rodzaj klamki / uchwytu </t>
  </si>
  <si>
    <t>zabrania się stosowania klamek o ostrych lub kanciastych krawędziach a także klamek wymagających obrotu - czy klamka ma ostre lub kanciaste krawędzie albo wymaga  obrotu</t>
  </si>
  <si>
    <t>Zewnętrzny panel sterujący - wysokość najwyżej położonego przycisku</t>
  </si>
  <si>
    <t xml:space="preserve">na wysokości 80 – 120 cm nad podłogą
</t>
  </si>
  <si>
    <t xml:space="preserve"> w odległości 50 cm od naroża kabiny</t>
  </si>
  <si>
    <t xml:space="preserve">na wysokości 80 – 110 cm nad podłogą
</t>
  </si>
  <si>
    <t xml:space="preserve"> w odległości 50 cm od naroża kabiny
w przypadku drzwi otwieranych jednostronnie po stronie zgodnej z kierunkiem zamykania drzwi</t>
  </si>
  <si>
    <t>Szafki na dwóch wysokościach</t>
  </si>
  <si>
    <t>110 i 180</t>
  </si>
  <si>
    <t>przejście z przebieralni do hal / sal - bez zmian wysokości / progów</t>
  </si>
  <si>
    <t>przejście z przebieralni do hal / sal - nawierzchnia antypoślizgowa</t>
  </si>
  <si>
    <t>przejście z przebieralni do hal / sal - nawierzchnia niehamująca kół wózka</t>
  </si>
  <si>
    <t>kabina natryskowa zamknięta, wydzielona ściankami na całą wysokość
pomieszczenia: minimalna powierzchnia: minimalna szerokość 90 cm</t>
  </si>
  <si>
    <t>możliwość skorzystania (dotarcia do prysznica) przez osoby na wózkach</t>
  </si>
  <si>
    <t>tak/nie</t>
  </si>
  <si>
    <t xml:space="preserve">siedzenie </t>
  </si>
  <si>
    <t>Sala do rehabilitacji ruchowej/zajęć z integracji sensorycznej</t>
  </si>
  <si>
    <t>Tłumaczenie pjm</t>
  </si>
  <si>
    <t>seanse dla osób z niepełnosprawnością - audiodeskrypcja, język migowy, tłumacz-przewodnik dla osób głuchoniewidomych)</t>
  </si>
  <si>
    <t>Powierzchnie spoczników pochylni powinny mieć wykończenie wyróżniające je odcieniem, barwą bądź fakturą co najmniej w pasie 30 cm od krawędzi rozpoczynającej i kończącej bieg pochylni</t>
  </si>
  <si>
    <t>Oznaczenia fakturowe lub kolorystyczne spoczników</t>
  </si>
  <si>
    <t>Pas fakturowy przed i za pochylnią w odległości 30 cm o szerokości 30-50 cm</t>
  </si>
  <si>
    <t xml:space="preserve">podnośnik schodowy (ukośny): 80 x 100 cm
</t>
  </si>
  <si>
    <t xml:space="preserve">podnośnik schodowy (ukośny): udźwig nie mniejszy niż 300 kg 
</t>
  </si>
  <si>
    <t>podnośnika pionowego: 90 x 120 cm, przy udźwigu nie mniejszym niż 300 kg</t>
  </si>
  <si>
    <t>Nie - dotyczy</t>
  </si>
  <si>
    <t>System FM/pętla/ inny system wspomagania słyszenia</t>
  </si>
  <si>
    <t>wizualny</t>
  </si>
  <si>
    <t>obowiązkowy</t>
  </si>
  <si>
    <t>Zaplecze sali gimnastycznej</t>
  </si>
  <si>
    <t>Pokój pielęgniarki</t>
  </si>
  <si>
    <t>wejście po schodach</t>
  </si>
  <si>
    <t>wejście po pochylni</t>
  </si>
  <si>
    <t>czy są urządzenia umożliwiające ćwiczenia bez przesiadania się z wózka?</t>
  </si>
  <si>
    <t>Sprawdź czy kąt otwarcia wynosi minimum 110 stopni.</t>
  </si>
  <si>
    <t>Sprawdż czy otwiera się do wewnątrz działki i wybierz własciwą odpowiedź.</t>
  </si>
  <si>
    <t xml:space="preserve">Sprawdż czy furtka nie wymaga użycia dużej siły, czy samozamykacz nie utrudnia otwierania, czy jest klamka/uchwyt którego może użyć osoba o ograniczonej sprawności dłoni/bez dłoni, </t>
  </si>
  <si>
    <t>Sprawdź czy do obiektu prowadzi chodnik/droga o nawierzchni utwardzonej (kostka, asfat, beton, płyty chodnikowe itp.).</t>
  </si>
  <si>
    <t>Sprawdź czy dojście ma nachylenie poprzeczne (w poprzek chodnika) nie przekraczające 2 %.</t>
  </si>
  <si>
    <t>Jeżeli chodnik ma nachylenie podłużne powyżej 5% zmierz ten chodnik wykorzystując kartę "pochylnia". Tu, w uwagach wpisz, że chodnik opisano w karcie "pochylnia"</t>
  </si>
  <si>
    <t>Sprawdź oświetlenie przed i za wejściem - natężenie pozwalające na bezpieczene użytkowanie to około 100 luksów. Oświetlenie powinno równomiernie oświetlać otoczenie tak by nie powstawały miejsca przesadnie jasne i przesadnie ciemne. Do pomiarów wykorzystaj miernik nateżenia oświetlenia. Pomiar możliwy wyłącznie po zapadnięciu zmroku.</t>
  </si>
  <si>
    <t>Nazwa</t>
  </si>
  <si>
    <t>tu wpisz unikalną nazwę, tak by jednoznacznie wskazywała audytowane miejsce (np. wejście główne, wejście boczne od strony wschodniej itd.)</t>
  </si>
  <si>
    <t>Ochrona konserwatorska?</t>
  </si>
  <si>
    <t>Informacje/pomoc</t>
  </si>
  <si>
    <t>Sprawdź czy miejsce parkingowe i chodnik prowadzący do budynku są na jednym poziomie (nie ma różnic poziomów - krawężników/progów etc.).</t>
  </si>
  <si>
    <t>Jeśli na drodze dotarcia z miejsca parkingowego na chodnik jest rampa (pochylnia) sprawdź czy ma szerokośc minimum 90 cm.</t>
  </si>
  <si>
    <t>Jeśli na drodze dotarcia z miejsca parkingowego na chodnik jest rampa (pochylnia) sprawdź czy jej nachylenie wynosi maksymalnie 15%.</t>
  </si>
  <si>
    <t>Wpisz łączną liczbę miejsc parkingowych</t>
  </si>
  <si>
    <t>Wpisz liczbę miejsc dla OzN</t>
  </si>
  <si>
    <t>Sprawdź czy dojście ma nachylenie podłużne (wzdłuż chodnika) nie przekraczające 5 %.</t>
  </si>
  <si>
    <t>Wpisz długość miejsca usytuowanego prostopadle do chodnika.</t>
  </si>
  <si>
    <t>Sprawdź poprawność oznaczenia</t>
  </si>
  <si>
    <t>Dotyczy zadaszonych pochylni, które pokonują do 50 cm wysokości. Przy pochylniach wielobiegowych nachylenie najbardziej stromego odcinka a jeśli nie mierzymy to NIE DOTYCZY</t>
  </si>
  <si>
    <t>Dotyczy pochylni, które pokonują do 15 cm wysokości. Przy pochylniach wielobiegowych nachylenie najbardziej stromego odcinka a jeśli nie mierzymy to NIE DOTYCZY</t>
  </si>
  <si>
    <t>Dotyczy niezadaszonych pochylni, które pokonują do 50 cm wysokości. Przy pochylniach wielobiegowych nachylenie najbardziej stromego odcinka a jeśli nie mierzymy to NIE DOTYCZY</t>
  </si>
  <si>
    <t>Dotyczy zadaszonych pochylni, które pokonują więcej niż 50 cm wysokości. Przy pochylniach wielobiegowych nachylenie najbardziej stromego odcinka a jeśli nie mierzymy to NIE DOTYCZY</t>
  </si>
  <si>
    <t>Dotyczy niezadaszonych pochylni, które pokonują więcej niż 50 cm wysokości. Przy pochylniach wielobiegowych nachylenie najbardziej stromego odcinka a jeśli nie mierzymy to NIE DOTYCZY</t>
  </si>
  <si>
    <t>Szerokość biegu mierz pomiędzy krawężnikami/ścianami.krawędziami tworzącymi bieg pochylni.</t>
  </si>
  <si>
    <t>Podaj wymiar w cm lub 'Nie dotyczy' jeśli nie ma</t>
  </si>
  <si>
    <t>Podaj długość w metrach najdłuższego odcinka pochylni.</t>
  </si>
  <si>
    <t>Podaj wymiar w cm lub 'Nie dotyczy' jeśli nie ma.</t>
  </si>
  <si>
    <t>Długość (głębokość) spocznika pośredniego</t>
  </si>
  <si>
    <t>Wpisz wysokość krawężników lub minimum 7 cm jeśli zamiast krawężników są inne elementy (ściany). Jeśli zamiast krawężnika jest rurka/płaskowni podaj wysokość górnej krawędzi elementu.</t>
  </si>
  <si>
    <t>Czy sa poręcze po obu stronach?</t>
  </si>
  <si>
    <t>Podaj wymiar w cm lub "Nie dotyczy" jeśli nie ma</t>
  </si>
  <si>
    <t>Podaj wymia w cm lub "Nie dotyczy" jeśli nie ma</t>
  </si>
  <si>
    <t>Podaj wymiar w cm.</t>
  </si>
  <si>
    <t>Sprawdź czy przed pochylnią ( wobu kierunkach) są oznaczenia wyróżniające barwą lub fakturą (pas kontrastowy lub pas wypukły).</t>
  </si>
  <si>
    <t>Sprawdć czy jest pas fakturowy przed i za pochylnią w odległości 30 cm o szerokości 30-50 cm.</t>
  </si>
  <si>
    <t>Jeśli mierzych podnośnik schodowy poruszający się po lini ukośnej (wzdłuż schodów) podaj wymiary jako szerokość/długość platformy. Jeśli nie mierzysz wpisz "Nie dotyczy".</t>
  </si>
  <si>
    <t>Jeśli mierzych podnośnik schodowy poruszający się po lini ukośnej (wzdłuż schodów) podaj jego udźwig (podany jest na tabliczce znamionowej). Jeśli nie mierzysz wpisz "Nie dotyczy".</t>
  </si>
  <si>
    <t>Jeśli mierzych podnośnik schodowy poruszający się po lini pinowej podaj wymiary jako szerokość/długość platformy. Jeśli nie mierzysz wpisz "Nie dotyczy".</t>
  </si>
  <si>
    <t>Jeśli mierzych podnośnik schodowy poruszający się po lini poinowej podaj jego udźwig (podany jest na tabliczce znamionowej). Jeśli nie mierzysz wpisz "Nie dotyczy".</t>
  </si>
  <si>
    <t>Sprawdć czy schody nie "wchodzą" na ciąg komunikacyjny (czy nie stwarzają ryzyka potknięcia dla osób poruszających się po korytarzu).</t>
  </si>
  <si>
    <t>Poda szerokość użytkową mierzoną między poręczami.</t>
  </si>
  <si>
    <t>Podaj liczbę stopni (każdy krok do góry to 1 stopień).</t>
  </si>
  <si>
    <t>Podaj wysokość stopni jako najwyższy/najniższy</t>
  </si>
  <si>
    <t>Podaj szerokość stopni jako najszerszy/najwęższy</t>
  </si>
  <si>
    <t>Czy schody mają noski? (brak podstopnia jest również noskiem).</t>
  </si>
  <si>
    <t>Czy krawędź pierwszego i ostatniego stopnia jest oznaczona kontrastem kolorystycznym.</t>
  </si>
  <si>
    <t>Wpisz szerokośc miejsca parkingowego. Mierz od krawędzi linii do krawędzi lini.
Nie wypełniaj jeśli SYTSUACJA PONIŻEJ MA MIEJSCE</t>
  </si>
  <si>
    <t>Czy schody są ażurowe? Ażurowe schody oznaczają stopnie wykonane z materiału z otworami (np. Krata pomostowa).</t>
  </si>
  <si>
    <t>Jeżeli schody pokonują więcej niż 50 cm wysokości sprawdź czy mają obustronne balustrady.</t>
  </si>
  <si>
    <t>Sprawdź czy jest wystarczająca przestrzeń by można było wygodnie i pewnie chwycić za poręcz. Poręcze montowane przy ścianach muszą być od nich oddalone o minimum 5 cm.</t>
  </si>
  <si>
    <t>Sprawdź śrenidcę pochwytu i wpisz wartość w cm. Jeśli pochwyt nie jest wykonany z rury (nie ma kształtu okrągłego/owlnego) wpisz "Nie dotyczy", a w polu uwagi wpisz np. "pochyt z płaskownika".</t>
  </si>
  <si>
    <t>Sprawdź wysokość pochwytu (górnej krawędzi) i wpisz wartość w cm. Jeśli nie ma pochwytu napisz "Nie dotyczy", a w polu uwagi napisz "brak".</t>
  </si>
  <si>
    <t>Jeżeli schody mają szerokość większą niż 4 metry sprawdź czy mają balustradę pośrednią (środkową).  Jeśli schody są węższe wybierz "Nie dotyczy"</t>
  </si>
  <si>
    <r>
      <t xml:space="preserve">Sprawdź i wpisz w centymetrach wymiary przestrzeni manewrowej przed wejściem. Jeśli przestrzeń jest większa niż 200/200 cm wpisz 200/200. </t>
    </r>
    <r>
      <rPr>
        <b/>
        <sz val="11"/>
        <color theme="1"/>
        <rFont val="Calibri"/>
        <family val="2"/>
        <charset val="238"/>
        <scheme val="minor"/>
      </rPr>
      <t>Ważne wpisz wartość jako szerokość/długość</t>
    </r>
  </si>
  <si>
    <t>Sprawdź czy przed wejściem występują dodatkowe uturdnienia w postaci wycieraczek, kratek, uszkodzeń, progów, zagłebień itp.</t>
  </si>
  <si>
    <t>Sprawdź szerokośc ościeżnicy. W uwagach, że drzwi są dwuskrzydłowe jeśli szerokość jednego skrzydła jest miejsza niż 90 cm.</t>
  </si>
  <si>
    <t>Podaj wysokośc progwu w centymetrach</t>
  </si>
  <si>
    <r>
      <t xml:space="preserve">Sprawdź i wpisz w centymetrach wymiary przestrzeni manewrowej za drzwiami. Jeśli przestrzeń jest większa niż 200/200 cm wpisz 200/200. </t>
    </r>
    <r>
      <rPr>
        <b/>
        <sz val="11"/>
        <color theme="1"/>
        <rFont val="Calibri"/>
        <family val="2"/>
        <charset val="238"/>
        <scheme val="minor"/>
      </rPr>
      <t>Ważne wpisz wartość jako szerokość/długość w centymetrach</t>
    </r>
    <r>
      <rPr>
        <sz val="11"/>
        <color theme="1"/>
        <rFont val="Calibri"/>
        <family val="2"/>
        <charset val="238"/>
        <scheme val="minor"/>
      </rPr>
      <t>. Uwaga jeśli za drzwiami jest wiatrołap podaj wymiary przestrzeni poza obrysem drzwi.</t>
    </r>
  </si>
  <si>
    <t>Sprawdź czy szklane drzwi są poprawnie oznaczone kontrastowymi pasami.</t>
  </si>
  <si>
    <t xml:space="preserve">Sprawdź czy klamka posiada ostre krawędzie/zakończenie lub czy jest tzw. klamkokula wymagająca obrotu w celu otwarcia drzwi. </t>
  </si>
  <si>
    <t xml:space="preserve">Sprawdż wysokość montażu klamki, włączników, dzwonków, domofonów w strefie wejścia. Jeśli klamka/ najwyżej umieszczony przycisk znajduje się na wysokości powyżej 120 cm wybierz odpowiedź "Nie". </t>
  </si>
  <si>
    <t>Sprawdź i wpisz w centymetrach wymiary przestrzeni manewrowej w wiatorołapie. Pamiętaj, że musisz zmierzyć wymiary poza obrysem drzwi. Jeśli przestrzeń jest większa niż 150/150 cm wpisz 150/150. Ważne wpisz wartość jako szerokość/długość w centymetrach. Jeśli nie ma wiatrołapu wpisz "Nie dotyczy".</t>
  </si>
  <si>
    <t xml:space="preserve">Sprawdź szerokość korytarzy na każdej kondygnacji. Jeśli któryś korytarz będzie węższy nż 140 cm na odcinku dłużym niż 150 centymetrów wybierz odpowiedź "Nie". </t>
  </si>
  <si>
    <r>
      <t xml:space="preserve">Jeśli w biegu korytarzy występują schody/stopnie opisz je w zakładce "Schody wewnętrzne", a tu w kolumnie "Jest" wpisz "schody opisane w tabeli </t>
    </r>
    <r>
      <rPr>
        <i/>
        <sz val="11"/>
        <color theme="1"/>
        <rFont val="Calibri"/>
        <family val="2"/>
        <charset val="238"/>
        <scheme val="minor"/>
      </rPr>
      <t>nazwa tabeli</t>
    </r>
    <r>
      <rPr>
        <sz val="11"/>
        <color theme="1"/>
        <rFont val="Calibri"/>
        <family val="2"/>
        <charset val="238"/>
        <scheme val="minor"/>
      </rPr>
      <t>". Jeśli w korytarzu danej kondygncji wystepuję wiele schodów (różnic poziomów) podaj nazwy wszystkich tabel opisujących schody.</t>
    </r>
  </si>
  <si>
    <r>
      <t xml:space="preserve">Jeśli w biegu korytarzy występują pochylnie opisz je w zakładce "Pochylnia", a tu w kolumnie "Jest" wpisz "pochylnia opisana w tabeli </t>
    </r>
    <r>
      <rPr>
        <i/>
        <sz val="11"/>
        <color theme="1"/>
        <rFont val="Calibri"/>
        <family val="2"/>
        <charset val="238"/>
        <scheme val="minor"/>
      </rPr>
      <t>nazwa tabeli</t>
    </r>
    <r>
      <rPr>
        <sz val="11"/>
        <color theme="1"/>
        <rFont val="Calibri"/>
        <family val="2"/>
        <charset val="238"/>
        <scheme val="minor"/>
      </rPr>
      <t>". Jeśli w korytarzu danej kondygncji wystepuję wiele pochylni (różnic poziomów) podaj nazwy wszystkich tabel opisujących pochylnie.</t>
    </r>
  </si>
  <si>
    <t>Sprawdź czy schody nie ograniczają możliwości poruszania się po ciągu pieszym (korytarzu), w którym się znajdują. Odpowiedz "Tak" jeśli schody nie utrudniają poruszania się po korytarzu/</t>
  </si>
  <si>
    <t>Sprawdż i podaj w centymetrach szerokość użytkową schodów. Szerokość mierz między poręczami lub między poręczą i ścianą po przeciwległej stronie.</t>
  </si>
  <si>
    <t>Podaj liczbę stopni w najdłuższym nbiegu mierzonych schodów.</t>
  </si>
  <si>
    <t>Podaj wysokość najwyższego stopnia lub "Nie dotyczy" jeśli wykonujesz pomiary w budynku nie będącym żłobkiem, przedszkolem lub budynkiem opieki zdrowotnej.</t>
  </si>
  <si>
    <t>Podaj wysokość najwyższego stopnia lub "Nie dotyczy" jeśli wykonujesz pomiary w budynku  będącym żłobkiem, przedszkolem lub budynkiem opieki zdrowotnej.</t>
  </si>
  <si>
    <t xml:space="preserve">Czy schody mają noski? (brak podstopnia jest również noskiem). Wybierz: 
- Tak/Nie jeśli schody mają/nie mają nosków i znajdują się w budynku innym niż opieka zdrowotna lub przeznaczonym dla osób starszych oraz niepełnosprawnych (np..DPS);
- Tak-dotyczy/Nie-dotyczy - jeśli schody mają/nie mają nosków i znajdują się w budynku  opieki zdrowotnej lub przeznaczonym dla osób starszych oraz niepełnosprawnych (np..DPS);
</t>
  </si>
  <si>
    <t>Sprawdź i podaj w centymetrach odłegość między drzwiami widny i przeciwległą ścianą/przegrodą. Jeśli nie ma przeciwległej przegrody przed drzwiami windy wpisz 160 cm</t>
  </si>
  <si>
    <t>Podaj w centymetrach szer./dł. - szerokość mierz w poprzek kierunku wejścia do windy, długość to odległość od drzwi windy do przeciwległej ściany lub innej przegrody. Jeśli nie ma przeciwległej ściany lub przegrody, wpisz wartość minimalną tj. 150 cm</t>
  </si>
  <si>
    <t>Podaj w centymetrach szerokość/długość</t>
  </si>
  <si>
    <t>Podaj w centymetrach wysokość górnej krawędzi poręczy. Jeśli nie ma wpisz "Nie dotyczy", a w uwagach wpisz "brak"</t>
  </si>
  <si>
    <t>Sprawdź czy między podłogą kondygnacji i windy występuje różnica poziomów. Jeśli winda zatrzymuje się nieprezecyzyjnie może powstać próg w wejściu do windy. Wartośc podaj w centymetrach.</t>
  </si>
  <si>
    <t>Sprawdź szerokośc drzwi do kabiny (sprawdzaj faktyczną szerokośc otworu po całkowitym otwarciu drzwi). Wymiar podaj w centymetrach.</t>
  </si>
  <si>
    <t>Sprawdź i podaj wysokość od posadzki najwyżej umieszczonego przycisku na zewnętrznym panelu sterowania.</t>
  </si>
  <si>
    <t>Sprawdź i podaj w centymetrach wysokość od posadzki najwyżej umieszczonego przycisku na zewnętrznym panelu sterowania.</t>
  </si>
  <si>
    <t>Sprawdź czy panel sterowania w windzie znajduje się minimum 50 cm od naroża kabiny (środek panelu).</t>
  </si>
  <si>
    <t>Sprawdź czy przyciski piętrowe znajdują się nad przyciskami alarmu i drzwi.</t>
  </si>
  <si>
    <t>Sprawdź czy przycisk kondygnacji, na której jest wyjście z budynku wystaje monimum 5 mm ponad pozostałe przyciski.</t>
  </si>
  <si>
    <t>Tak - kondygnacje dostępne</t>
  </si>
  <si>
    <t>Nie - kondygnacje dostępne</t>
  </si>
  <si>
    <t>Podaj w centymetrach szerokośc drzwi do toalety.</t>
  </si>
  <si>
    <t>Sprawdź i wpisz w centymetrach wymiary przestrzeni manewrowej w toalecie. Jeśli przestrzeń jest większa niż 150/150 cm wpisz 150/150. Ważne wpisz wartość jako szerokość/długość</t>
  </si>
  <si>
    <t>Sprawdź czy przynajmniej z jednej strony sedesu jest przestrzeń o wymiarach 90/140 cm (90 cm to odległość pomiędzy krawędzią sedesu a najbliższa przeszkodą).</t>
  </si>
  <si>
    <r>
      <t xml:space="preserve">Wybierz odpowiedź </t>
    </r>
    <r>
      <rPr>
        <b/>
        <sz val="11"/>
        <color theme="1"/>
        <rFont val="Calibri"/>
        <family val="2"/>
        <charset val="238"/>
        <scheme val="minor"/>
      </rPr>
      <t>TAK</t>
    </r>
    <r>
      <rPr>
        <sz val="11"/>
        <color theme="1"/>
        <rFont val="Calibri"/>
        <family val="2"/>
        <charset val="238"/>
        <scheme val="minor"/>
      </rPr>
      <t xml:space="preserve"> jeśli w budynku jest toaleta dostosowana ale nie na każdej dostępnej kondygnacji, </t>
    </r>
    <r>
      <rPr>
        <b/>
        <sz val="11"/>
        <color theme="1"/>
        <rFont val="Calibri"/>
        <family val="2"/>
        <charset val="238"/>
        <scheme val="minor"/>
      </rPr>
      <t>TAK-KONDYGNACJE DOSTĘPNE</t>
    </r>
    <r>
      <rPr>
        <sz val="11"/>
        <color theme="1"/>
        <rFont val="Calibri"/>
        <family val="2"/>
        <charset val="238"/>
        <scheme val="minor"/>
      </rPr>
      <t xml:space="preserve"> jeśli dostosowana toaleta jest na każdej dostępnej kondygnacji, </t>
    </r>
    <r>
      <rPr>
        <b/>
        <sz val="11"/>
        <color theme="1"/>
        <rFont val="Calibri"/>
        <family val="2"/>
        <charset val="238"/>
        <scheme val="minor"/>
      </rPr>
      <t>NIE</t>
    </r>
    <r>
      <rPr>
        <sz val="11"/>
        <color theme="1"/>
        <rFont val="Calibri"/>
        <family val="2"/>
        <charset val="238"/>
        <scheme val="minor"/>
      </rPr>
      <t xml:space="preserve"> jeśli nie ma toalety dostosowanej i </t>
    </r>
    <r>
      <rPr>
        <b/>
        <sz val="11"/>
        <color theme="1"/>
        <rFont val="Calibri"/>
        <family val="2"/>
        <charset val="238"/>
        <scheme val="minor"/>
      </rPr>
      <t>NIE-KONDYGNACJE DOSTĘPNE</t>
    </r>
    <r>
      <rPr>
        <sz val="11"/>
        <color theme="1"/>
        <rFont val="Calibri"/>
        <family val="2"/>
        <charset val="238"/>
        <scheme val="minor"/>
      </rPr>
      <t xml:space="preserve"> jeśli dostosowana toaleta nie znajduje się na wszystkich dostosowanych kondygnacjach.
</t>
    </r>
  </si>
  <si>
    <t>Sprawdź i podaj w centymetrach wysokość górnej krawędzi miski ustępowej</t>
  </si>
  <si>
    <t>Sprawdź i podaj w centymetrach długość  miski ustępowej</t>
  </si>
  <si>
    <t>Sprawdź i podaj w centymetrach wysokość górnej krawędzi poręczy przy misce ustępowej. W przypadku poręczy niepoprawnych w uwagach opisz ich błąd.</t>
  </si>
  <si>
    <t>Sprawdź i podaj w centymetrach odległość od osi poręczy do osi muszli.</t>
  </si>
  <si>
    <t>Sprawdź i podaj w centymetrach długośc na jaką poręczy "wystają" przed miskę ustępową.</t>
  </si>
  <si>
    <t xml:space="preserve">Sprawdź czy wysokość wierzchu umywalki mieście się pomiędzy 80-85 centymetrów, a przestrzeń pod umywalką ma minimum 70 cm.
</t>
  </si>
  <si>
    <t>Podaj w centymetrach szerokość światła ościeżnicy drzwi.</t>
  </si>
  <si>
    <t>Podaj w centymetrach wysokość progu w wejściu do pomieszczenia.</t>
  </si>
  <si>
    <t>Informacja/pomoc</t>
  </si>
  <si>
    <t>Czy wejście na scene jest możliwe z ominięciem schodów i pochylni? Odpowiedź "tak"/"nie" wpisz w kolumnie "Jest".</t>
  </si>
  <si>
    <t>Mierzymy od dolnej krawędzi blatu do  poziomu posadzki. Wysokość wpisz w centymetrach.</t>
  </si>
  <si>
    <t>Jeśli wejście na scenę nie jest możliwe bez ominięcia schodów wewnętrznych to wskaż w kolumnie "Jest" nazwę tabeli, w której opisane są schodu na scenę.</t>
  </si>
  <si>
    <t>Jeśli wejście na scenę nie jest możliwe bez ominięcia pochylni to wskaż w kolumnie "Jest" nazwę tabeli, w której opisana jest pochylnia na scenę.</t>
  </si>
  <si>
    <t>Czy na widowni zostało wyznaczone miejsce dla osób poruszająych się na wózkach? Odpowedź "tak"/"nie", wpisz w tebeli "Jest".</t>
  </si>
  <si>
    <t>Czy w rzędach i na fotelach widowni zostały umieszczone wypukłe oznaczenia dotyczące numerów?</t>
  </si>
  <si>
    <t>Czy w rzędach i na fotelach widowni zostały umieszczone oznaczenia brajlowskie dotyczące numerów?</t>
  </si>
  <si>
    <t>Czy w Sali widowni jest możliwość skorzystania z systemu audiodeskrypcji?</t>
  </si>
  <si>
    <t>Czy w Sali widowni jest możliwość skorzystania z systemu FM/petli indukcyjnej / innego systemu wspomagania słyszenia? Odpowedź "tak"/"nie", wpisz w kolumnie "Jest". Jeśli "tak" to opis w kolumnie "Uwagi".</t>
  </si>
  <si>
    <t xml:space="preserve">Czy istnieje możliwość skorzystania z tłumacza Polskiego języka migowego? odpowedź "tak"/"nie", wpisz w kolumnie "Jest". </t>
  </si>
  <si>
    <t xml:space="preserve">Czy w ofercie instytucji pojawiają się specjalne sesnse, wydarzenia dla osób z niepełnosprawnością (mozliwość audiodeskrypcji, język migowy, tłumacz - przewodnik dla osób głuchych, niewidomych, niedowidzących)? </t>
  </si>
  <si>
    <t>Pomiar wieszaków zamontowanych wyżej,  w centymetrach, od poziomu posadzki lub "Nie" jeśli nie ma, zapis w kolumnie "Jest"</t>
  </si>
  <si>
    <t>Pomiar wieszaków zamontowanych niżej,  w centymetrach, od poziomu posadzki lub "Nie" jeśli nie ma, zapis w kolumnie "Jest"</t>
  </si>
  <si>
    <t xml:space="preserve">Czy w pomieszzceniu znajduje się przycisk alarmowy? Wybór "tak" lub "nie" z kolumny "Jest". </t>
  </si>
  <si>
    <t>Czy przejście z przebieralni do hal / sal jest możliwe bez zmian wysokości / progów? Wybór "tak", "nie" lub "nie dotyczy" (w przypadku braku przejścia) z listy rozwijalnej kolumny "Jest".</t>
  </si>
  <si>
    <t>Czy przejście z przebieralni do hal / sal jest wykończone nawierzchnią antypoślizgową? Wybór "tak", "nie" lub "nie dotyczy" (w przypadku braku przejścia)  z kolumny "Jest".</t>
  </si>
  <si>
    <t>Czy przejście z przebieralni do hal / sal jest wykończone nawierzchnią niehamującą kół wózka? Wybór "tak", "nie" lub "nie dotyczy" (w przypadku braku przejścia)  z kolumny "Jest"</t>
  </si>
  <si>
    <t>Wartość w formie szerokośc/długość w centymetrach wpisz w kolumnie "Jest".</t>
  </si>
  <si>
    <t>Pomiar wysokości siedzenia zapisz w centymetrach lub wpisz "nie dotyczy" w kolumnie "Jest"</t>
  </si>
  <si>
    <t>Pomiar szerokości siedzenia zapisz w centymetrach lub wpisz "nie dotyczy" w kolumnie "Jest"</t>
  </si>
  <si>
    <t>Pomiar głębokości siedzenia, zapis w centymetrach lub wpisz "nie dotyczy" wpisz w kolumnie "Jest"</t>
  </si>
  <si>
    <t>Czy wpomieszczeniu znajdują się wieszaki na dwu wyskościach? Wybór z "Nie dotyczy", "tak" lub "nie" w kolumnie "jest"</t>
  </si>
  <si>
    <t>Pomiar długość x szerokość, wymiar podany  metrach kwadratowych, lub zapis "nie dotyczy" jeśli takiej kabiny nie ma, w kolumnie "Jest".</t>
  </si>
  <si>
    <t>Pomiar szerokości podany w centymertach lub zapis "nie dotyczy", jeśli takiej kabiny nie ma, w kolumnie "Jest"</t>
  </si>
  <si>
    <t>Czy możliwe jest skorzystanie i dotarcie do prysznica przez osoby na wózkach (szerokość ciągu komunikacji, szerokość drzwi)? Wybór "tak" lub "nie" z kolumny "Jest"</t>
  </si>
  <si>
    <t>Pomiar przestrzeni manewrowej (poza obrysem otwartych drzwi, wolnej od przeszkód) w centymetrach szerokość / długość.</t>
  </si>
  <si>
    <t>Pomiar wysokości  w centymetrach, od powierzchni posadzki do  wierzchu siedzenia, lub zapis "Nie", jeśli nie ma w kolumnie "Jest".</t>
  </si>
  <si>
    <t>Pomiar szerokości siedzenia w centymetrach, lub zapis "Nie", jeśli nie ma w kolumnie "Jest".</t>
  </si>
  <si>
    <t>Pomiar głebokości siedzenia w centymetrach, lub zapis "Nie", jeśli nie ma w kolumnie "Jest".</t>
  </si>
  <si>
    <t>Pomiar w centymetrach, od powierzchni posadzki do  wysokości montażu półki na kosmetyki, lub zapis "Nie", jeśli nie ma w kolumnie "Jest".</t>
  </si>
  <si>
    <t>Pomiar w centymetrach, od powierzchni posadzki do  wysokości montażu dozownika kosmetyków, lub zapis "Nie", jeśli nie ma w kolumnie "Jest".</t>
  </si>
  <si>
    <t>Pomiar długość x szerokość, wymiar podany w metrach kwadratowych, lub zapis "nie dotyczy" jeśli takiej kabiny nie ma, w kolumnie "Jest".</t>
  </si>
  <si>
    <t>Czy bateria zamonotowana jest na  scianie obok siedziska?</t>
  </si>
  <si>
    <t>Czy obiekt dysponuje urządznieniami pozwalającymi na transfer osoby z niepełnosprawnością do basenu (podnośnik basenowy)? Wybór "nie dotyczy", "tak" lub "nie" z listy rozwijalnej w kolumnie "Jest".</t>
  </si>
  <si>
    <t>Czy obiekt dysponuje pochylnią umożliwiająca wjazd osobie z niepełnopsrawnością do basenu? Wybór "nie dotyczy", "tak" lub "nie" z listy rozwijalnej w kolumnie "Jest".</t>
  </si>
  <si>
    <t>Czy obiekt dysponuje własnymi wózkami basenowymi, na które przesiada się osoba z niepełnosprawnością? Wybór "nie dotyczy", "tak" lub "nie" z listy rozwijalnej w kolumnie "Jest".</t>
  </si>
  <si>
    <t xml:space="preserve">Czy na zejściach w formie schodów do basenu  znajdują się ozanczenia kontarstowe do koloru nawierzchni? Wybór "nie dotyczy", "tak" lub "nie" z listy rozwijalnej w kolumnie "Jest".  </t>
  </si>
  <si>
    <t xml:space="preserve">Czy na zejściach w formie pochylni / najazdu do basenu  znajdują się ozanczenia kontarstowe do koloru nawierzchni? Wybór "nie dotyczy", "tak" lub "nie" z listy rozwijalnej w kolumnie "Jest".  </t>
  </si>
  <si>
    <t xml:space="preserve">Czy nawierzchnia hali / sali sportowej jest antypoślizgowa? Wybór "nie dotyczy", "tak" lub "nie" z listy rozwijalnej w kolumnie "Jest".  </t>
  </si>
  <si>
    <t xml:space="preserve">Czy obiekt dysponuje elementami wyposażenia,z których mogą korzystać osoby na wózkach? Wybór "nie dotyczy", "tak" lub "nie" z listy rozwijalnej w kolumnie "Jest".  </t>
  </si>
  <si>
    <t xml:space="preserve">Czy elementy wyposażenia są usytuowane w taki sposób, aby nie utrudniać poruszania się w pomieszczeniu (min. szer. przejścia 120 cm)? Wybór "nie dotyczy", "tak" lub "nie" z listy rozwijalnej w kolumnie "Jest".  </t>
  </si>
  <si>
    <t xml:space="preserve">Czy obiekt zapewnia informacje w formie wizualnej (np. wyświetlacz informacyjny) dotyczącej komunikatów o kończącym się czasie  / o zagrożeniu / inne? Wybór "nie dotyczy", "tak" lub "nie" z listy rozwijalnej w kolumnie "Jest".  </t>
  </si>
  <si>
    <t xml:space="preserve">Czy obiekt zapewnia informacje w formie dźwiękowej / głosowej dotyczącej komunikatów o kończącym się czasie  / o zagrożeniu / inne? Wybór "nie dotyczy", "tak" lub "nie" z listy rozwijalnej w kolumnie "Jest".  </t>
  </si>
  <si>
    <t xml:space="preserve">Czy nawierzchnia hali / sali sportowej nie hamuje koła wózka? Wybór "nie dotyczy", "tak" lub "nie" z listy rozwijalnej w kolumnie "Jest".  </t>
  </si>
  <si>
    <t xml:space="preserve">Czy w hali / sali sportowej jest zapewniona przestrzeń bez przeszkód?  Wybór "nie dotyczy", "tak" lub "nie" z listy rozwijalnej w kolumnie "Jest".  </t>
  </si>
  <si>
    <t>Czy na widowni / trybunach zostało wyznaczone miejsce dla osób poruszająych się na wózkach? Wybór "nie dotyczy", "tak" lub "nie" z listy rozwijalnej w kolumnie "Jest".</t>
  </si>
  <si>
    <t>Czy w rzędach i na fotelach widowni / trybun zostały umieszczone wypukłe oznaczenia dotyczące numerów? Wybór "nie dotyczy", "tak" lub "nie" z listy rozwijalnej w kolumnie "Jest".</t>
  </si>
  <si>
    <t>Czy w rzędach i na fotelach widowni zostały umieszczone oznaczenia brajlowskie dotyczące numerów? Wybór "nie dotyczy", "tak" lub "nie" z listy rozwijalnej w kolumnie "Jest".</t>
  </si>
  <si>
    <t>Czy na widowni / trybunach  jest możliwość skorzystania z systemu audiodeskrypcji? Wybór "nie dotyczy", "tak" lub "nie" z listy rozwijalnej w kolumnie "Jest".</t>
  </si>
  <si>
    <t>Czy na widowni / trybunach jest możliwość skorzystania z systemu FM/pętli indukcyjnej / innego systemu wspomagania słyszenia? Wybór "nie dotyczy", "tak" lub "nie" z listy rozwijalnej w kolumnie "Jest".</t>
  </si>
  <si>
    <t>Czy do budynku może wejść z osoba korzystająca z psa asystującego?</t>
  </si>
  <si>
    <t>Czy w budynku jest graficzna informacja o rozkładzie pomieszczeń (tablica infromacyjna, mapa)</t>
  </si>
  <si>
    <t>Czy w budynku jest dotykowa informacja o rozkładzie pomieszczeń (tyflomapa, tablica z alfabetem brajla)</t>
  </si>
  <si>
    <t>Czy w budynku jest głosowa informacja o rozkładzie pomieszczeń (infokiosk z informacją audio, pracownik recepcji udzielający informacji)</t>
  </si>
  <si>
    <t>Czy jest czytelna informacja wizualna o drogach ewakuacji?</t>
  </si>
  <si>
    <t>Czy łatwo zlokalizować plan ewakuacji?</t>
  </si>
  <si>
    <t>Czy jest system powiadamiania alarmowego?</t>
  </si>
  <si>
    <t>Czy jest oświetlenie awaryjne?</t>
  </si>
  <si>
    <t>Czy są urządzenia ewakuacyjne - krzesła, maty, materace?</t>
  </si>
  <si>
    <t>Czy jest zainstalowana pętlla indukcyjna?</t>
  </si>
  <si>
    <t>Czy są oznaczenia informujące o pętli indukcyjnej?</t>
  </si>
  <si>
    <t>Czy jest możliwość skorzystania z tłumacz PJM?</t>
  </si>
  <si>
    <t>Czy jest przycisk alarmowy?</t>
  </si>
  <si>
    <t>Czy szafki są na dwóch wysokościach?</t>
  </si>
  <si>
    <t>Czy przejście z przebieralni do hal / sal jest bez zmian wysokości / progów?</t>
  </si>
  <si>
    <t>Czy przejście z przebieralni do hal / sal ma nawierzchnię antypoślizgową?</t>
  </si>
  <si>
    <t>Czy przejście z przebieralni do hal / sal ma nawierzchnię nie powodujacą hamowanie kół wózka?</t>
  </si>
  <si>
    <t>Czy jest możliwość skorzystania (dotarcia do prysznica) przez osoby na wózkach?</t>
  </si>
  <si>
    <t xml:space="preserve">sprawdź szerokość kabiny i wpisz w centymetrach </t>
  </si>
  <si>
    <t>sprawdź pwierzchnię kabiny i podaj ją w metrach kwadratowych (wpisz tylko wartość bez symboli)</t>
  </si>
  <si>
    <t>Czy są urządzenia pozwalające na transfer osoby do basenu?</t>
  </si>
  <si>
    <t>Czy jest pochylnia umożliwiająca wjazd do basenu?</t>
  </si>
  <si>
    <t>Czy są wózki basenowe?</t>
  </si>
  <si>
    <t>Czy jest oznakowanie kontrastowe zejścia (schodów) do basenu?</t>
  </si>
  <si>
    <t>Czy jest oznakowanie kontrastowe zejścia (pochylni / najazdu) do basenu?</t>
  </si>
  <si>
    <t>Czy jest możliwość podjechania pod blat osoby na wózku czyli czy głębokość pod blatem ma minimum 30 cm  i czy jest wolna przestrzeń pod blatem</t>
  </si>
  <si>
    <t xml:space="preserve">Wybierz tak jeżeli przy wsiadaniu i wysiadaniu można korzystać z przyległego chodnika, a miejsce parkingowe  ma szerokość &gt;=2,5m
</t>
  </si>
  <si>
    <t>Sprawdź nawierzchnię miejsca parkingowego. Jeśli miejsce jest w pasie drogowym nawierzchnia musi być utwardzona-ulepszona, jeśli jest poza pasem drogowym musi być  lub gruntowa stablizowana.</t>
  </si>
  <si>
    <r>
      <t>Sprawdź czy długość poziomej płaszczyzny na początku i końcu pochylni wynosi minimum 150 cm.
Jeśli jest więcej niż 150 cm wpisz tylko 150.</t>
    </r>
    <r>
      <rPr>
        <sz val="11"/>
        <color rgb="FFFF0000"/>
        <rFont val="Calibri"/>
        <family val="2"/>
        <charset val="238"/>
        <scheme val="minor"/>
      </rPr>
      <t xml:space="preserve"> </t>
    </r>
  </si>
  <si>
    <t>Podaj wymiar w cm. Jeśli poręcze nie są przy ścianach wpisz "Nie dotyczy"</t>
  </si>
  <si>
    <t>Jakie wymiary ma minimalna przestrzeń manewrowa? Wpisz szerokość/długość</t>
  </si>
  <si>
    <t>Jakie wymiary ma siedzenie zamontowane pod prysznicem? Wpisz cm lub "Nie" jeśli nie ma</t>
  </si>
  <si>
    <t>Jak jest zamontowana bateria prysznicowa?</t>
  </si>
  <si>
    <t>Jak jest wysokość montażu półki na kosmetyki? Wpisz cm lub "Nie" jeśli nie ma</t>
  </si>
  <si>
    <t>Jaka jest wysokość montażu dozownika kosmetyków? Wpisz cm lub "Nie" jeśli nie ma</t>
  </si>
  <si>
    <t>Czy wieszaki są na dwóch wysokościach? Wpisz cm lub "Nie" jeśli nie ma</t>
  </si>
  <si>
    <t>Jakie są wymiary minimalnej przestrzeni manewrowej wewnątrz  przebieralni? Wpisz szerokośc/długośc w centymetrach</t>
  </si>
  <si>
    <t/>
  </si>
  <si>
    <t>Sprawdź i wpisz szerokość furtki (faktyczną szerokość przejścia). Jeśli nie ma furtki wpisz "Nie dotyczy", a w uwagach napisz, że nie ma furtki</t>
  </si>
  <si>
    <t>Wpisz długość miejsca usytuowanego wzdłuż chodnika lub "Nie dotyczy" jeśli nie dotyczy</t>
  </si>
  <si>
    <t>Czy jest możliwośc podjechania pod blat osoby na wózku czyli czy głębokość pod blatem jest 30 cm minimum i czy nie ma przeszkód jakichś pod blatem</t>
  </si>
  <si>
    <t>Jeśli na drodze dotarcia z miejsca parkingowego na chodnik jest rampa (pochylnia) sprawdź jaką pokonuje wysokość</t>
  </si>
  <si>
    <t>sprawdź czy jest droga dotarcia z parkingu do budynku</t>
  </si>
  <si>
    <t>tak</t>
  </si>
  <si>
    <t>nie dotyczy</t>
  </si>
  <si>
    <t>13cm:40x100=32,5</t>
  </si>
  <si>
    <t>nie  dotyczy</t>
  </si>
  <si>
    <t>stopnie są nachylone, przed 1 stopniem jest nie równa powierzchnia.</t>
  </si>
  <si>
    <t>6</t>
  </si>
  <si>
    <t>46</t>
  </si>
  <si>
    <t>nie</t>
  </si>
  <si>
    <t>mierzona do kraweznika</t>
  </si>
  <si>
    <t>150/150</t>
  </si>
  <si>
    <t>wycieracza z podloznymi otworami 3cm</t>
  </si>
  <si>
    <t>60/194</t>
  </si>
  <si>
    <t>2 mini progi =4cm</t>
  </si>
  <si>
    <t xml:space="preserve">KORYTARZ POZIOM 0 </t>
  </si>
  <si>
    <t>WEJSCIE GŁÓWNE</t>
  </si>
  <si>
    <t>SCHODY WEWNĘTRZNE Z POZIOMU 0 NA MINUS 1</t>
  </si>
  <si>
    <t>NIE DOTYCZY</t>
  </si>
  <si>
    <t>SCHODY 0 NA -1</t>
  </si>
  <si>
    <t>13 I 14</t>
  </si>
  <si>
    <t>1 I OSTATNI STOPIEŃ POZIOMO</t>
  </si>
  <si>
    <t>160/150</t>
  </si>
  <si>
    <t>112/140</t>
  </si>
  <si>
    <t>1 przycisk</t>
  </si>
  <si>
    <t>92/100</t>
  </si>
  <si>
    <t>60cm</t>
  </si>
  <si>
    <t xml:space="preserve">brak windy </t>
  </si>
  <si>
    <t>125/150</t>
  </si>
  <si>
    <t>WEJSCIE Z KORYTARZA</t>
  </si>
  <si>
    <t>CSW</t>
  </si>
  <si>
    <t xml:space="preserve">poziom -1 brak windy </t>
  </si>
  <si>
    <t>200x200</t>
  </si>
  <si>
    <t>brak</t>
  </si>
  <si>
    <t>36cmx80 podyielic na 100 rowna się 29</t>
  </si>
  <si>
    <t>15</t>
  </si>
  <si>
    <t>15 najwzysyz 11 najniysyz</t>
  </si>
  <si>
    <t>38</t>
  </si>
  <si>
    <t>37 najweysyz</t>
  </si>
  <si>
    <t>1,15</t>
  </si>
  <si>
    <t>44</t>
  </si>
  <si>
    <t>177/196</t>
  </si>
  <si>
    <t>180/320</t>
  </si>
  <si>
    <t>200/200</t>
  </si>
  <si>
    <t>y poyiomu 0 na parter</t>
  </si>
  <si>
    <t>y poyiomu 1 na 2</t>
  </si>
  <si>
    <t>2 na 3</t>
  </si>
  <si>
    <t>3 na 4</t>
  </si>
  <si>
    <t xml:space="preserve"> parter</t>
  </si>
  <si>
    <t>korztarz 2 parter</t>
  </si>
  <si>
    <t>SCHODY WEWNĘTRZNE Z POZIOMU 1 NA parter</t>
  </si>
  <si>
    <t>SCHODY 1 NA parter</t>
  </si>
  <si>
    <t>nie dotzcyz</t>
  </si>
  <si>
    <t>100-115</t>
  </si>
  <si>
    <t>SCHODY polpietro NA pietro</t>
  </si>
  <si>
    <t>SCHODY parter NA polpietro</t>
  </si>
  <si>
    <t>chemiczno fiyzcyna</t>
  </si>
  <si>
    <t>komputerowa</t>
  </si>
  <si>
    <t xml:space="preserve">od korztarza 2,5 cm </t>
  </si>
  <si>
    <t>5cm</t>
  </si>
  <si>
    <t>20sal</t>
  </si>
  <si>
    <t xml:space="preserve">20 sal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</si>
</sst>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rgb="FF66666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CE6F1"/>
        <bgColor indexed="64"/>
      </patternFill>
    </fill>
    <fill>
      <patternFill patternType="gray0625">
        <fgColor theme="0" tint="-0.14996795556505021"/>
        <bgColor theme="4" tint="0.79995117038483843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DBE5F1"/>
        <bgColor rgb="FFDBE5F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0" tint="-0.14993743705557422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1">
    <xf numFmtId="0" fontId="0" fillId="0" borderId="0" xfId="0"/>
    <xf numFmtId="0" fontId="0" fillId="0" borderId="1" xfId="0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0" fillId="4" borderId="1" xfId="0" applyNumberForma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0" fillId="5" borderId="6" xfId="0" applyFill="1" applyBorder="1" applyAlignment="1">
      <alignment horizontal="left" vertical="top" wrapText="1"/>
    </xf>
    <xf numFmtId="0" fontId="4" fillId="0" borderId="0" xfId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6" fillId="3" borderId="4" xfId="0" applyFont="1" applyFill="1" applyBorder="1" applyAlignment="1">
      <alignment vertical="top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6" borderId="1" xfId="0" applyFont="1" applyFill="1" applyBorder="1" applyAlignment="1">
      <alignment vertical="center"/>
    </xf>
    <xf numFmtId="0" fontId="9" fillId="6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Border="1"/>
    <xf numFmtId="0" fontId="0" fillId="4" borderId="0" xfId="0" applyFill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2" fillId="4" borderId="7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left" vertical="top" wrapText="1"/>
    </xf>
    <xf numFmtId="0" fontId="11" fillId="4" borderId="10" xfId="0" applyFont="1" applyFill="1" applyBorder="1" applyAlignment="1">
      <alignment horizontal="left" vertical="top" wrapText="1"/>
    </xf>
    <xf numFmtId="0" fontId="11" fillId="4" borderId="8" xfId="0" applyFont="1" applyFill="1" applyBorder="1" applyAlignment="1">
      <alignment horizontal="left" vertical="top" wrapText="1"/>
    </xf>
    <xf numFmtId="0" fontId="11" fillId="4" borderId="9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1" fillId="0" borderId="0" xfId="0" applyFont="1"/>
    <xf numFmtId="0" fontId="0" fillId="0" borderId="1" xfId="0" applyBorder="1" applyAlignment="1">
      <alignment wrapText="1"/>
    </xf>
    <xf numFmtId="0" fontId="10" fillId="0" borderId="0" xfId="0" applyFont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0" fillId="4" borderId="2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top" wrapText="1"/>
    </xf>
    <xf numFmtId="0" fontId="0" fillId="4" borderId="4" xfId="0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left" vertical="top" wrapText="1"/>
    </xf>
    <xf numFmtId="0" fontId="0" fillId="4" borderId="4" xfId="0" applyFont="1" applyFill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49" fontId="0" fillId="0" borderId="0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1" fillId="2" borderId="14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11" fillId="0" borderId="7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11" fillId="4" borderId="7" xfId="0" applyFont="1" applyFill="1" applyBorder="1" applyAlignment="1">
      <alignment vertical="top" wrapText="1"/>
    </xf>
    <xf numFmtId="0" fontId="11" fillId="4" borderId="8" xfId="0" applyFont="1" applyFill="1" applyBorder="1" applyAlignment="1">
      <alignment vertical="top" wrapText="1"/>
    </xf>
    <xf numFmtId="0" fontId="11" fillId="4" borderId="9" xfId="0" applyFont="1" applyFill="1" applyBorder="1" applyAlignment="1">
      <alignment vertical="top" wrapText="1"/>
    </xf>
    <xf numFmtId="0" fontId="11" fillId="4" borderId="7" xfId="0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11" xfId="0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/>
    </xf>
    <xf numFmtId="0" fontId="0" fillId="4" borderId="7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5" fillId="3" borderId="9" xfId="0" applyFont="1" applyFill="1" applyBorder="1" applyAlignment="1">
      <alignment horizontal="left" vertical="top" wrapText="1"/>
    </xf>
    <xf numFmtId="0" fontId="1" fillId="4" borderId="18" xfId="0" applyFont="1" applyFill="1" applyBorder="1" applyAlignment="1">
      <alignment horizontal="left" vertical="top" wrapText="1"/>
    </xf>
    <xf numFmtId="0" fontId="5" fillId="3" borderId="13" xfId="0" applyFont="1" applyFill="1" applyBorder="1" applyAlignment="1">
      <alignment horizontal="left" vertical="top" wrapText="1"/>
    </xf>
    <xf numFmtId="0" fontId="7" fillId="3" borderId="14" xfId="0" applyFont="1" applyFill="1" applyBorder="1" applyAlignment="1">
      <alignment horizontal="left" vertical="top" wrapText="1"/>
    </xf>
    <xf numFmtId="0" fontId="0" fillId="2" borderId="19" xfId="0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0" fillId="2" borderId="21" xfId="0" applyFill="1" applyBorder="1" applyAlignment="1">
      <alignment horizontal="left" vertical="top" wrapText="1"/>
    </xf>
    <xf numFmtId="0" fontId="0" fillId="2" borderId="22" xfId="0" applyFill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1" fillId="4" borderId="25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5" fillId="3" borderId="14" xfId="0" applyFont="1" applyFill="1" applyBorder="1" applyAlignment="1">
      <alignment horizontal="left" vertical="top" wrapText="1"/>
    </xf>
    <xf numFmtId="0" fontId="11" fillId="0" borderId="26" xfId="0" applyFont="1" applyBorder="1" applyAlignment="1">
      <alignment vertical="top" wrapText="1"/>
    </xf>
    <xf numFmtId="0" fontId="11" fillId="0" borderId="27" xfId="0" applyFont="1" applyBorder="1" applyAlignment="1">
      <alignment vertical="top" wrapText="1"/>
    </xf>
    <xf numFmtId="0" fontId="0" fillId="2" borderId="19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center" vertical="top" wrapText="1"/>
    </xf>
    <xf numFmtId="0" fontId="1" fillId="2" borderId="22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horizontal="left" vertical="top" wrapText="1"/>
    </xf>
    <xf numFmtId="0" fontId="12" fillId="0" borderId="21" xfId="0" applyFont="1" applyBorder="1" applyAlignment="1">
      <alignment horizontal="left" vertical="top" wrapText="1"/>
    </xf>
    <xf numFmtId="0" fontId="11" fillId="0" borderId="22" xfId="0" applyFont="1" applyBorder="1" applyAlignment="1">
      <alignment horizontal="left" vertical="top" wrapText="1"/>
    </xf>
    <xf numFmtId="0" fontId="11" fillId="4" borderId="26" xfId="0" applyFont="1" applyFill="1" applyBorder="1" applyAlignment="1">
      <alignment horizontal="left" vertical="top" wrapText="1"/>
    </xf>
    <xf numFmtId="0" fontId="11" fillId="4" borderId="27" xfId="0" applyFont="1" applyFill="1" applyBorder="1" applyAlignment="1">
      <alignment horizontal="left" vertical="top" wrapText="1"/>
    </xf>
    <xf numFmtId="0" fontId="0" fillId="2" borderId="13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12" fillId="2" borderId="7" xfId="0" applyFont="1" applyFill="1" applyBorder="1" applyAlignment="1">
      <alignment horizontal="left" vertical="top" wrapText="1"/>
    </xf>
    <xf numFmtId="0" fontId="0" fillId="2" borderId="23" xfId="0" applyFont="1" applyFill="1" applyBorder="1" applyAlignment="1">
      <alignment horizontal="left" vertical="top" wrapText="1"/>
    </xf>
    <xf numFmtId="0" fontId="0" fillId="2" borderId="16" xfId="0" applyFont="1" applyFill="1" applyBorder="1" applyAlignment="1">
      <alignment horizontal="left" vertical="top" wrapText="1"/>
    </xf>
    <xf numFmtId="0" fontId="16" fillId="0" borderId="31" xfId="0" applyFont="1" applyBorder="1" applyAlignment="1">
      <alignment horizontal="left" vertical="top" wrapText="1"/>
    </xf>
    <xf numFmtId="0" fontId="5" fillId="3" borderId="4" xfId="0" applyFont="1" applyFill="1" applyBorder="1" applyAlignment="1">
      <alignment vertical="top" wrapText="1"/>
    </xf>
    <xf numFmtId="0" fontId="0" fillId="0" borderId="24" xfId="0" applyBorder="1"/>
    <xf numFmtId="0" fontId="1" fillId="0" borderId="20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5" fillId="9" borderId="32" xfId="0" applyFont="1" applyFill="1" applyBorder="1" applyAlignment="1">
      <alignment horizontal="left" vertical="top" wrapText="1"/>
    </xf>
    <xf numFmtId="0" fontId="15" fillId="10" borderId="31" xfId="0" applyFont="1" applyFill="1" applyBorder="1" applyAlignment="1">
      <alignment horizontal="left" vertical="top" wrapText="1"/>
    </xf>
    <xf numFmtId="0" fontId="15" fillId="9" borderId="31" xfId="0" applyFont="1" applyFill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6" fillId="3" borderId="4" xfId="0" applyFont="1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top" wrapText="1"/>
    </xf>
    <xf numFmtId="0" fontId="1" fillId="2" borderId="21" xfId="0" applyFont="1" applyFill="1" applyBorder="1" applyAlignment="1">
      <alignment horizontal="left" vertical="top" wrapText="1"/>
    </xf>
    <xf numFmtId="0" fontId="1" fillId="2" borderId="22" xfId="0" applyFont="1" applyFill="1" applyBorder="1" applyAlignment="1">
      <alignment horizontal="left" vertical="top" wrapText="1"/>
    </xf>
    <xf numFmtId="0" fontId="1" fillId="2" borderId="15" xfId="0" applyFont="1" applyFill="1" applyBorder="1" applyAlignment="1">
      <alignment horizontal="left" vertical="top" wrapText="1"/>
    </xf>
    <xf numFmtId="0" fontId="1" fillId="2" borderId="30" xfId="0" applyFont="1" applyFill="1" applyBorder="1" applyAlignment="1">
      <alignment horizontal="left" vertical="top" wrapText="1"/>
    </xf>
    <xf numFmtId="0" fontId="9" fillId="0" borderId="7" xfId="0" applyFont="1" applyBorder="1" applyAlignment="1">
      <alignment vertical="center"/>
    </xf>
    <xf numFmtId="0" fontId="9" fillId="6" borderId="7" xfId="0" applyFont="1" applyFill="1" applyBorder="1" applyAlignment="1">
      <alignment vertical="center"/>
    </xf>
    <xf numFmtId="0" fontId="0" fillId="0" borderId="30" xfId="0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0" fontId="1" fillId="5" borderId="34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left" vertical="top" wrapText="1"/>
    </xf>
    <xf numFmtId="0" fontId="0" fillId="0" borderId="21" xfId="0" applyNumberFormat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4" borderId="17" xfId="0" applyFont="1" applyFill="1" applyBorder="1" applyAlignment="1">
      <alignment horizontal="left" vertical="top" wrapText="1"/>
    </xf>
    <xf numFmtId="0" fontId="0" fillId="11" borderId="13" xfId="0" applyFill="1" applyBorder="1" applyAlignment="1">
      <alignment horizontal="left" vertical="top" wrapText="1"/>
    </xf>
    <xf numFmtId="0" fontId="0" fillId="11" borderId="14" xfId="0" applyFill="1" applyBorder="1" applyAlignment="1">
      <alignment horizontal="left" vertical="top" wrapText="1"/>
    </xf>
    <xf numFmtId="0" fontId="0" fillId="11" borderId="21" xfId="0" applyFill="1" applyBorder="1" applyAlignment="1">
      <alignment horizontal="left" vertical="top" wrapText="1"/>
    </xf>
    <xf numFmtId="0" fontId="0" fillId="11" borderId="20" xfId="0" applyFill="1" applyBorder="1" applyAlignment="1">
      <alignment horizontal="left" vertical="top" wrapText="1"/>
    </xf>
    <xf numFmtId="0" fontId="0" fillId="11" borderId="23" xfId="0" applyFill="1" applyBorder="1" applyAlignment="1">
      <alignment horizontal="left" vertical="top" wrapText="1"/>
    </xf>
    <xf numFmtId="0" fontId="0" fillId="11" borderId="16" xfId="0" applyFill="1" applyBorder="1" applyAlignment="1">
      <alignment horizontal="left" vertical="top" wrapText="1"/>
    </xf>
    <xf numFmtId="0" fontId="0" fillId="11" borderId="22" xfId="0" applyFill="1" applyBorder="1" applyAlignment="1">
      <alignment horizontal="left" vertical="top" wrapText="1"/>
    </xf>
    <xf numFmtId="0" fontId="0" fillId="7" borderId="1" xfId="0" applyFill="1" applyBorder="1" applyAlignment="1">
      <alignment horizontal="left" vertical="top" wrapText="1"/>
    </xf>
    <xf numFmtId="0" fontId="0" fillId="7" borderId="1" xfId="0" applyFont="1" applyFill="1" applyBorder="1" applyAlignment="1">
      <alignment horizontal="left" vertical="top" wrapText="1"/>
    </xf>
    <xf numFmtId="0" fontId="1" fillId="7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6" fillId="3" borderId="7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vertical="top" wrapText="1"/>
    </xf>
    <xf numFmtId="0" fontId="1" fillId="7" borderId="9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2" borderId="21" xfId="0" applyFont="1" applyFill="1" applyBorder="1" applyAlignment="1">
      <alignment horizontal="left" vertical="top" wrapText="1"/>
    </xf>
    <xf numFmtId="0" fontId="0" fillId="2" borderId="22" xfId="0" applyFont="1" applyFill="1" applyBorder="1" applyAlignment="1">
      <alignment horizontal="left" vertical="top" wrapText="1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0" fontId="0" fillId="11" borderId="21" xfId="0" applyFont="1" applyFill="1" applyBorder="1" applyAlignment="1">
      <alignment horizontal="left" vertical="top" wrapText="1"/>
    </xf>
    <xf numFmtId="0" fontId="0" fillId="11" borderId="22" xfId="0" applyFont="1" applyFill="1" applyBorder="1" applyAlignment="1">
      <alignment horizontal="left" vertical="top" wrapText="1"/>
    </xf>
    <xf numFmtId="0" fontId="0" fillId="11" borderId="23" xfId="0" applyFont="1" applyFill="1" applyBorder="1" applyAlignment="1">
      <alignment horizontal="left" vertical="top" wrapText="1"/>
    </xf>
    <xf numFmtId="0" fontId="0" fillId="11" borderId="16" xfId="0" applyFont="1" applyFill="1" applyBorder="1" applyAlignment="1">
      <alignment horizontal="left" vertical="top" wrapText="1"/>
    </xf>
    <xf numFmtId="0" fontId="0" fillId="12" borderId="21" xfId="0" applyFont="1" applyFill="1" applyBorder="1" applyAlignment="1">
      <alignment horizontal="left" vertical="top" wrapText="1"/>
    </xf>
    <xf numFmtId="0" fontId="0" fillId="12" borderId="22" xfId="0" applyFont="1" applyFill="1" applyBorder="1" applyAlignment="1">
      <alignment horizontal="left" vertical="top" wrapText="1"/>
    </xf>
    <xf numFmtId="0" fontId="0" fillId="11" borderId="28" xfId="0" applyFill="1" applyBorder="1" applyAlignment="1">
      <alignment horizontal="left" vertical="top" wrapText="1"/>
    </xf>
    <xf numFmtId="0" fontId="0" fillId="11" borderId="29" xfId="0" applyFill="1" applyBorder="1" applyAlignment="1">
      <alignment horizontal="left" vertical="top" wrapText="1"/>
    </xf>
    <xf numFmtId="0" fontId="1" fillId="11" borderId="21" xfId="0" applyFont="1" applyFill="1" applyBorder="1" applyAlignment="1">
      <alignment horizontal="left" vertical="top" wrapText="1"/>
    </xf>
    <xf numFmtId="0" fontId="1" fillId="11" borderId="22" xfId="0" applyFont="1" applyFill="1" applyBorder="1" applyAlignment="1">
      <alignment horizontal="left" vertical="top" wrapText="1"/>
    </xf>
    <xf numFmtId="0" fontId="0" fillId="11" borderId="19" xfId="0" applyFill="1" applyBorder="1" applyAlignment="1">
      <alignment horizontal="left" vertical="top" wrapText="1"/>
    </xf>
    <xf numFmtId="0" fontId="0" fillId="11" borderId="15" xfId="0" applyFill="1" applyBorder="1" applyAlignment="1">
      <alignment horizontal="left" vertical="top" wrapText="1"/>
    </xf>
    <xf numFmtId="0" fontId="0" fillId="11" borderId="30" xfId="0" applyFill="1" applyBorder="1" applyAlignment="1">
      <alignment horizontal="left" vertical="top" wrapText="1"/>
    </xf>
    <xf numFmtId="0" fontId="0" fillId="11" borderId="13" xfId="0" applyFont="1" applyFill="1" applyBorder="1" applyAlignment="1">
      <alignment horizontal="left" vertical="top" wrapText="1"/>
    </xf>
    <xf numFmtId="0" fontId="1" fillId="11" borderId="14" xfId="0" applyFont="1" applyFill="1" applyBorder="1" applyAlignment="1">
      <alignment horizontal="left" vertical="top" wrapText="1"/>
    </xf>
    <xf numFmtId="0" fontId="1" fillId="11" borderId="30" xfId="0" applyFont="1" applyFill="1" applyBorder="1" applyAlignment="1">
      <alignment horizontal="left" vertical="top" wrapText="1"/>
    </xf>
    <xf numFmtId="0" fontId="0" fillId="11" borderId="14" xfId="0" applyFont="1" applyFill="1" applyBorder="1" applyAlignment="1">
      <alignment horizontal="left" vertical="top" wrapText="1"/>
    </xf>
    <xf numFmtId="0" fontId="0" fillId="11" borderId="19" xfId="0" applyFont="1" applyFill="1" applyBorder="1" applyAlignment="1">
      <alignment horizontal="left" vertical="top" wrapText="1"/>
    </xf>
    <xf numFmtId="0" fontId="0" fillId="12" borderId="13" xfId="0" applyFont="1" applyFill="1" applyBorder="1" applyAlignment="1">
      <alignment horizontal="left" vertical="top" wrapText="1"/>
    </xf>
    <xf numFmtId="0" fontId="0" fillId="12" borderId="14" xfId="0" applyFont="1" applyFill="1" applyBorder="1" applyAlignment="1">
      <alignment horizontal="left" vertical="top" wrapText="1"/>
    </xf>
    <xf numFmtId="0" fontId="0" fillId="7" borderId="7" xfId="0" applyFill="1" applyBorder="1" applyAlignment="1">
      <alignment horizontal="left" vertical="top" wrapText="1"/>
    </xf>
    <xf numFmtId="0" fontId="0" fillId="11" borderId="28" xfId="0" applyFont="1" applyFill="1" applyBorder="1" applyAlignment="1">
      <alignment horizontal="center" vertical="top" wrapText="1"/>
    </xf>
    <xf numFmtId="0" fontId="0" fillId="11" borderId="29" xfId="0" applyFill="1" applyBorder="1" applyAlignment="1">
      <alignment horizontal="center" vertical="top" wrapText="1"/>
    </xf>
    <xf numFmtId="0" fontId="1" fillId="11" borderId="20" xfId="0" applyFont="1" applyFill="1" applyBorder="1" applyAlignment="1">
      <alignment horizontal="left" vertical="top" wrapText="1"/>
    </xf>
    <xf numFmtId="0" fontId="11" fillId="11" borderId="26" xfId="0" applyFont="1" applyFill="1" applyBorder="1" applyAlignment="1">
      <alignment vertical="top" wrapText="1"/>
    </xf>
    <xf numFmtId="0" fontId="11" fillId="11" borderId="27" xfId="0" applyFont="1" applyFill="1" applyBorder="1" applyAlignment="1">
      <alignment vertical="top" wrapText="1"/>
    </xf>
    <xf numFmtId="0" fontId="12" fillId="11" borderId="21" xfId="0" applyFont="1" applyFill="1" applyBorder="1" applyAlignment="1">
      <alignment horizontal="left" vertical="top" wrapText="1"/>
    </xf>
    <xf numFmtId="0" fontId="11" fillId="11" borderId="22" xfId="0" applyFont="1" applyFill="1" applyBorder="1" applyAlignment="1">
      <alignment horizontal="left" vertical="top" wrapText="1"/>
    </xf>
    <xf numFmtId="0" fontId="1" fillId="11" borderId="2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49" fontId="0" fillId="11" borderId="21" xfId="0" applyNumberFormat="1" applyFill="1" applyBorder="1" applyAlignment="1">
      <alignment horizontal="left" vertical="top" wrapText="1"/>
    </xf>
    <xf numFmtId="0" fontId="0" fillId="11" borderId="23" xfId="0" applyNumberFormat="1" applyFill="1" applyBorder="1" applyAlignment="1">
      <alignment horizontal="left" vertical="top" wrapText="1"/>
    </xf>
    <xf numFmtId="20" fontId="0" fillId="11" borderId="22" xfId="0" applyNumberForma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0" fillId="11" borderId="19" xfId="0" applyFill="1" applyBorder="1" applyAlignment="1" applyProtection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0" fillId="4" borderId="5" xfId="0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0" fontId="0" fillId="8" borderId="0" xfId="0" applyFill="1" applyAlignment="1">
      <alignment horizontal="center" vertical="top" wrapText="1"/>
    </xf>
    <xf numFmtId="0" fontId="2" fillId="0" borderId="3" xfId="0" applyFont="1" applyBorder="1" applyAlignment="1">
      <alignment horizontal="left" vertical="top" wrapText="1"/>
    </xf>
    <xf numFmtId="0" fontId="2" fillId="8" borderId="0" xfId="0" applyFont="1" applyFill="1" applyBorder="1" applyAlignment="1">
      <alignment horizontal="center" vertical="top" wrapText="1"/>
    </xf>
    <xf numFmtId="0" fontId="2" fillId="8" borderId="3" xfId="0" applyFont="1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12" xfId="0" applyFill="1" applyBorder="1" applyAlignment="1">
      <alignment horizontal="center" vertical="top" wrapText="1"/>
    </xf>
    <xf numFmtId="0" fontId="0" fillId="4" borderId="17" xfId="0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2" borderId="29" xfId="0" applyFill="1" applyBorder="1" applyAlignment="1">
      <alignment horizontal="left" vertical="top" wrapText="1"/>
    </xf>
    <xf numFmtId="0" fontId="0" fillId="2" borderId="20" xfId="0" applyFill="1" applyBorder="1" applyAlignment="1">
      <alignment horizontal="left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18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 vertical="top" wrapText="1"/>
    </xf>
    <xf numFmtId="0" fontId="0" fillId="0" borderId="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4" borderId="9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center" vertical="top" wrapText="1"/>
    </xf>
    <xf numFmtId="0" fontId="0" fillId="4" borderId="2" xfId="0" applyFill="1" applyBorder="1" applyAlignment="1">
      <alignment horizontal="center" vertical="top" wrapText="1"/>
    </xf>
    <xf numFmtId="0" fontId="1" fillId="4" borderId="25" xfId="0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horizontal="center" vertical="top" wrapText="1"/>
    </xf>
    <xf numFmtId="0" fontId="0" fillId="4" borderId="11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17" xfId="0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2" borderId="1" xfId="0" applyFill="1" applyBorder="1" applyAlignment="1">
      <alignment horizontal="left" vertical="top" wrapText="1"/>
    </xf>
    <xf numFmtId="0" fontId="0" fillId="2" borderId="7" xfId="0" applyFill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0" fillId="0" borderId="3" xfId="0" applyBorder="1" applyAlignment="1">
      <alignment vertical="top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586740</xdr:colOff>
      <xdr:row>13</xdr:row>
      <xdr:rowOff>53340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1FF7C487-602F-4919-826E-7290E29065F0}"/>
            </a:ext>
          </a:extLst>
        </xdr:cNvPr>
        <xdr:cNvSpPr txBox="1"/>
      </xdr:nvSpPr>
      <xdr:spPr>
        <a:xfrm>
          <a:off x="11003280" y="96088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2E1F6CA9-45E1-4195-8E2A-1C7D86B28FB0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C9538E89-399B-44A0-88D5-8343F76BDD66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640286CB-89AE-4B23-8DAE-4DABB04CB9D7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521DD82-A99A-4F80-AC0E-7735B1E8A8D2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94436A51-CC07-4B41-9FB1-55AE8C1C6FD7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AA3791E-C0A2-4979-8BAB-3E1CF9961FC3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BD77A748-DE85-4059-80AD-7C15425C6DE5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2A0F4AD-6B1D-4841-ABBC-BD52A02722B6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60A08BF1-0CD7-4E05-B327-173A669BCC64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13DC587-6327-45B0-BBCF-5517398F76FF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090C4CF-372B-49CE-A89E-C1B2DDA3776A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5014ECC4-41C5-4FE6-8A04-C3BBBE943284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5666914-0EA4-4FEF-A03F-C9F8C8080095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880E3412-4757-4623-8A29-39DBDDF7B44D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EE9A4761-EC52-4912-9A6D-8F9BC5191D59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459AB66C-0B47-4C8D-906F-7E0E320B6C7B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05BA0B86-283F-40CE-B81C-15ACE906BDB2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7C269640-6F0E-4BCC-9536-2E831ACEDD61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89B1BE2-3C2F-409C-BB53-3CA31B102A0D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6D0E5C88-3D4E-4630-B50C-2A5F42EC2136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474B06EE-4FFF-4FA0-9D95-EB1EBA94C587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CFB64863-80EE-4772-913E-2CE18FAFC143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230758EF-47EE-4862-8039-1CEC9ED82E10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D2FA6CA0-F9A9-4E7B-B90B-25A0A47E9510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11BFF760-5414-4ED4-A35A-D10514A9CA46}"/>
            </a:ext>
          </a:extLst>
        </xdr:cNvPr>
        <xdr:cNvSpPr txBox="1"/>
      </xdr:nvSpPr>
      <xdr:spPr>
        <a:xfrm>
          <a:off x="358140" y="38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AF132370-4825-4706-A826-0A876521FF61}"/>
            </a:ext>
          </a:extLst>
        </xdr:cNvPr>
        <xdr:cNvSpPr txBox="1"/>
      </xdr:nvSpPr>
      <xdr:spPr>
        <a:xfrm>
          <a:off x="358140" y="38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DFE1A674-2042-494F-99E8-8E6533C0E905}"/>
            </a:ext>
          </a:extLst>
        </xdr:cNvPr>
        <xdr:cNvSpPr txBox="1"/>
      </xdr:nvSpPr>
      <xdr:spPr>
        <a:xfrm>
          <a:off x="358140" y="38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372600D-0F03-44B2-BA4E-EFB76E7E9526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1DFCFA63-9269-4861-BAF3-7F85FC6C3396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A787155-2717-46E8-B9A5-C5249B4DC27A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3C863D0C-0D1A-42CB-BDD7-0A0B1D232666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8BCBC45-D907-4871-B2D9-C31D559553D7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260B0272-6173-4F0E-976D-A192C24B9F15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5B7FD344-B3B3-459B-B6E5-4B9E96823932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21FFA9F2-9076-479D-8E6C-63BAC082135E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1CF5622-C645-4590-A6CA-0868D27AD870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5BEEF887-F1D2-493F-B3AB-D69F2B8C970F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F4A94E7-2176-4014-A333-B85C9D4FC572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39678C6-40E7-4709-AA0F-9E3F8F481D80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C48B98EE-3B40-401A-BAF7-080AAF8FC5D4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97CD4F84-64C3-4904-83E0-599CFF1A75F2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31BBC73A-15BA-4C54-B6EA-2F643CC1799B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BA0CB437-1358-452F-A97B-55CB6A85B5D8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4A1CC29B-199B-416E-806A-5F6FF938F9D0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7EE0D1CA-AEB4-49E6-9F1B-B4ED800EF910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A19FACB-7AFE-4715-8410-F67E3C78AC73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2A8E830-3C44-4C6A-909B-0EF61C53DCF8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1E97D78A-5267-4C34-95FE-6ACB53B59187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2979CE8C-76D7-459C-9F05-6F8B1BC0E4FF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C6B17F96-9AD2-4F26-91E4-02BA300B8929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1DD80859-CFF5-40E3-944B-7299F4346778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D60DFFDF-9BE2-4CEC-A07B-F1E0AB0D42C6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5BE7ABE4-DE22-4299-AEC8-80684D9CB13D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6C13EB49-74F5-4D69-881A-65B56455A853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6F7E2856-F317-4E95-B3D5-DAFF7C260800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A4F61354-1425-4210-BB84-4ABDBA988EF1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AC9EF698-AA7B-40D8-B76B-8762B79EE161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679263BA-1A75-406C-B897-0A82ED907E13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264E7A7-DF35-4FAC-9D43-34B0376E766E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6DCA2C00-805B-427A-BA41-18BC596A085F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C83D303C-8756-4C87-9EEE-AAE49F1DBA77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90E44B22-15DA-4736-B0B7-49A7E62BEA7D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EE2E0E4D-747F-49FA-B5A5-0F264FB74862}"/>
            </a:ext>
          </a:extLst>
        </xdr:cNvPr>
        <xdr:cNvSpPr txBox="1"/>
      </xdr:nvSpPr>
      <xdr:spPr>
        <a:xfrm>
          <a:off x="358140" y="38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id="{ACF57146-2DA0-4A47-9992-B6C13EE536D3}"/>
            </a:ext>
          </a:extLst>
        </xdr:cNvPr>
        <xdr:cNvSpPr txBox="1"/>
      </xdr:nvSpPr>
      <xdr:spPr>
        <a:xfrm>
          <a:off x="358140" y="38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id="{3F88E4C0-275F-4881-8CEE-1DA0BBBC48B2}"/>
            </a:ext>
          </a:extLst>
        </xdr:cNvPr>
        <xdr:cNvSpPr txBox="1"/>
      </xdr:nvSpPr>
      <xdr:spPr>
        <a:xfrm>
          <a:off x="358140" y="3886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6AA52660-BB91-4897-83FE-B710A3A64284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32565BD1-F233-4A8B-A7B3-59123E0F4063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649A0D9D-2E8F-4693-BBEA-100DDC4D74FF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D10D8CA-AB1F-4C95-9793-B7AD808694E4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8781FE97-B67C-498C-BC5A-C4CEBD05C1F6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D3B5AC2D-9219-43E3-8563-3B85CAACD769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FF9045A0-3596-44CC-9EB8-EBDC426B7106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99B4C112-61A3-449B-89D4-2E558D2F0CAE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AB7F92B-08A8-4B0C-A85B-1EBA48F6C819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1B69F260-BA85-46C0-A18F-2BC5161471A3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BB0FF98-E7EE-4208-B984-2B0F6A7AD0D1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7537BFD-0A5A-454A-A03A-6AC32CD0D7AF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29EEAAE9-FC32-4D50-9ADF-F5A6DE6C5889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A4249C52-D187-48CF-8670-55E1E1517707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DBFD4F59-CF9B-4DC5-9B0C-798352418836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34599A83-D23E-4C1A-ABE5-9067BDF6277F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1DBDE9A0-A453-42BC-8954-C8B7BA00BCFF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2D73BFB6-2AED-4448-95E6-DA69C41CD78D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C8C62C10-0083-4CA1-972A-B09498492CE4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8AEBA7D-4BE6-4472-8D65-559A557D7C81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ECA9DD1-F6E3-4B7A-BEAD-FEB2274542DF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DB2F6352-6AB5-47C7-B834-1422E28150BD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909E3A28-C880-4F46-BBFE-0A7D4496A000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B7E90A39-96D9-42E3-8AD7-7A603C60EE02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586740</xdr:colOff>
      <xdr:row>13</xdr:row>
      <xdr:rowOff>53340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FA7C4DA5-462B-4BAC-A698-CD390693847D}"/>
            </a:ext>
          </a:extLst>
        </xdr:cNvPr>
        <xdr:cNvSpPr txBox="1"/>
      </xdr:nvSpPr>
      <xdr:spPr>
        <a:xfrm>
          <a:off x="13091160" y="136931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D72EBE8-2C49-43AF-A677-AFC1349FBC2F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0220F5B-E1AC-4709-99B3-F14222879137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BA8707F2-FAB8-4D58-90C2-7DC35A41BE66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5E616BE5-7695-4913-91B8-97DF8CCB76CC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43EFB28E-B4BC-4C40-AC89-6C5B41F885E7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0B4E6E89-F0D6-4726-BBC9-FBA4CD8916A3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BF95E870-CFA1-43AA-83E9-2B1C5E00AC6F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8EDC2F4C-9C7E-4AE1-91FC-5AC4A202C4A1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8D44489-036A-4A7C-A901-A15B0C5EED49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1CB167A4-20DF-4F24-AB47-9D4958CC4F84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8D0EDF4B-E8CD-4CFB-B109-CA8B1BB9D108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04FD8333-F337-47B0-8D8D-2ECB7DA27A90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F3E0963-32E4-41E6-8BDF-F67B4B29C30B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2F024250-8C23-425E-A550-B5F0090E77F2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id="{A03A3C3D-3B08-4406-8286-EB0096835207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id="{5D23A5C4-F35D-4DAD-95DE-9A85B3C6A9AE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EE5D0D7A-9715-4952-9594-A94EE4B9B189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CDC99C98-397D-409E-8039-2D2F14763E55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46153AFD-BA22-4EC1-AF99-9083C78C4CD9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993DEC66-7934-4952-B7C8-0B1FF8C1A56F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2CEB8E1-B6FE-4D8F-BFB9-0FCF99B5A6BD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ECE4E4B5-3603-4528-A6E6-FDCF3D82217A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0201B24-9100-439E-9C8C-209EE80A9F1A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A5D7FF72-8704-4D7A-B8E4-7EFCC470EF1E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602C4D21-6449-4596-87D8-1CF0A1B3D2CF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8AA3BA22-8424-4783-B8D4-59BFAD25A1FD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0A95C81-20BA-494D-98E9-E6E8A8EB9B19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B2A21404-7CC7-4E36-81BC-0A006571E61E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1FD3BE6-4BC7-4DD5-AEE9-FA87CE822C80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D4A4553C-C990-41DB-AD57-9BE474D3F44E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302EAE1-29C5-4F99-9CCB-1E7F39D3FE93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38B2E71E-FEE2-47CF-856A-6EE1F66692A7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44256367-0E9B-4483-A58E-4CE480C36B06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DD7B17AB-201F-440F-A796-C9E0462EA75C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FEE0120A-55B5-41AC-8855-6F6751A84F72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11E6D4D1-C2AE-4D81-BA80-509468F02598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0498721E-39A4-4166-A262-25C0EBBD851A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33E74DF8-3116-4EFC-996A-7ECDE90281D3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C74AFA73-F418-40BF-AA4B-6C4DCE5B72E6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421C573-B865-47D5-8D9E-F1F0B95E6709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26D736D-0218-4502-BCAF-3BA323D2E940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F013878D-EFB6-425D-9420-CB53E1C12F5A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4F22F6C5-952A-4AE7-A587-4254307296AD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12F168D9-B96D-44C9-9F24-082BDDDC4A4A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364273FD-6235-4998-8974-5BC2A9871FC0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8446C9A0-B50F-44AF-8EDF-502D0A6B645D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2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558654BB-E474-4336-A3E9-9564C49E2E07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256EF41-D53F-40D5-9AC6-FF2A42B3A518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432B93C8-0F47-4AA3-B6E1-1E1594014253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FC620352-4970-454E-A384-CFDA5E5D5887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95C93DE-32A4-47E8-96C4-2751FFAAA249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0</xdr:row>
      <xdr:rowOff>0</xdr:rowOff>
    </xdr:from>
    <xdr:ext cx="184731" cy="264560"/>
    <xdr:sp macro="" textlink="">
      <xdr:nvSpPr>
        <xdr:cNvPr id="7" name="pole tekstowe 6">
          <a:extLst>
            <a:ext uri="{FF2B5EF4-FFF2-40B4-BE49-F238E27FC236}">
              <a16:creationId xmlns:a16="http://schemas.microsoft.com/office/drawing/2014/main" id="{33AC9610-1C4F-4224-8DBB-FD66532D2ACA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0E83BF0-013D-4A3E-8A13-11D021BD2BA6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4B34AA29-8FBE-4EAC-AC21-5DB56E0D02C9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0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7F129E6-7993-4DE5-A76B-E4DFEE2807CA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CD931AE8-D0C7-4A59-AE9A-33A1340F08FF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8169D991-F567-4B0E-A8A9-2D3880D028E7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23A0EF73-15A9-4BCB-90B0-A224C39CBF33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970BAFBC-DE9F-471B-A505-AE6BC8C15C4D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3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9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C1181C0B-D3A2-4E54-A228-EB1E3F236CAD}"/>
            </a:ext>
          </a:extLst>
        </xdr:cNvPr>
        <xdr:cNvSpPr txBox="1"/>
      </xdr:nvSpPr>
      <xdr:spPr>
        <a:xfrm>
          <a:off x="35814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9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2A6D7707-3A0E-40F8-ACCA-C76598E1F340}"/>
            </a:ext>
          </a:extLst>
        </xdr:cNvPr>
        <xdr:cNvSpPr txBox="1"/>
      </xdr:nvSpPr>
      <xdr:spPr>
        <a:xfrm>
          <a:off x="35814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9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63674DEF-4682-4E37-8FD7-4981EBC98385}"/>
            </a:ext>
          </a:extLst>
        </xdr:cNvPr>
        <xdr:cNvSpPr txBox="1"/>
      </xdr:nvSpPr>
      <xdr:spPr>
        <a:xfrm>
          <a:off x="35814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9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137B19BE-7381-4113-946A-D84358250FA2}"/>
            </a:ext>
          </a:extLst>
        </xdr:cNvPr>
        <xdr:cNvSpPr txBox="1"/>
      </xdr:nvSpPr>
      <xdr:spPr>
        <a:xfrm>
          <a:off x="358140" y="297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193A017-C570-4E04-B95C-6C4B92073DAD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C9FC4561-FE19-4C50-9098-CD263820B8F0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D967FD5E-0A2E-4708-A886-6EEB2E8EF04F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592F8274-53CB-4368-8DC6-42BD5AA939AA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18FB7323-88D6-4953-B78A-45DFB1F6C0E4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D0F11DB6-F086-4758-A93B-7C86CAD58860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98EB59AE-99ED-4E88-B750-98CDE370D894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8EA93233-DEE3-403B-BE76-4528E1650585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5AA21C3C-0E7A-4990-B8FB-08C2B226AEDE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FEA7D331-3D5E-4D80-9763-8B311D027B77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E85C1A46-316E-4A85-A84B-B6BEF240E903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B9D45C82-BD2D-4129-8AE7-B8EA8618B1EE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B6A2E189-A652-4796-BFB4-AD7966989031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C3250941-D57F-4132-B6AE-3E1B66641420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77DB871C-357D-49AE-AD15-361A4AD22C9A}"/>
            </a:ext>
          </a:extLst>
        </xdr:cNvPr>
        <xdr:cNvSpPr txBox="1"/>
      </xdr:nvSpPr>
      <xdr:spPr>
        <a:xfrm>
          <a:off x="358140" y="1600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5" name="pole tekstowe 4">
          <a:extLst>
            <a:ext uri="{FF2B5EF4-FFF2-40B4-BE49-F238E27FC236}">
              <a16:creationId xmlns:a16="http://schemas.microsoft.com/office/drawing/2014/main" id="{50C077F5-D730-4E2A-A7BD-A64BE07B6887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EF73F592-3036-41E8-94DE-DC15058C873C}"/>
            </a:ext>
          </a:extLst>
        </xdr:cNvPr>
        <xdr:cNvSpPr txBox="1"/>
      </xdr:nvSpPr>
      <xdr:spPr>
        <a:xfrm>
          <a:off x="358140" y="46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19D4D663-E1BE-4256-9E04-AB89AC9E39E8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E10852D1-0E19-4168-B0B3-6F1EFED42885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CAA3F80E-A696-438A-BC57-1B7C944F46D6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2" name="pole tekstowe 1">
          <a:extLst>
            <a:ext uri="{FF2B5EF4-FFF2-40B4-BE49-F238E27FC236}">
              <a16:creationId xmlns:a16="http://schemas.microsoft.com/office/drawing/2014/main" id="{0DC24AA8-9D82-40AB-B7FD-C59AD8C0D2C9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60969A18-9959-4D22-AF8A-7238D455813A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  <xdr:oneCellAnchor>
    <xdr:from>
      <xdr:col>0</xdr:col>
      <xdr:colOff>358140</xdr:colOff>
      <xdr:row>2</xdr:row>
      <xdr:rowOff>0</xdr:rowOff>
    </xdr:from>
    <xdr:ext cx="184731" cy="264560"/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1F5DB034-FFEF-4E4D-87D9-A6D9273F9B97}"/>
            </a:ext>
          </a:extLst>
        </xdr:cNvPr>
        <xdr:cNvSpPr txBox="1"/>
      </xdr:nvSpPr>
      <xdr:spPr>
        <a:xfrm>
          <a:off x="358140" y="457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ela5" displayName="Tabela5" ref="A1:A4" totalsRowShown="0">
  <autoFilter ref="A1:A4" xr:uid="{00000000-0009-0000-0100-000005000000}"/>
  <tableColumns count="1">
    <tableColumn id="1" xr3:uid="{00000000-0010-0000-0000-000001000000}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ela1" displayName="Tabela1" ref="A7:A9" totalsRowShown="0">
  <autoFilter ref="A7:A9" xr:uid="{00000000-0009-0000-0100-000001000000}"/>
  <tableColumns count="1">
    <tableColumn id="1" xr3:uid="{00000000-0010-0000-0100-000001000000}" name="Kolumna1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ela2" displayName="Tabela2" ref="A12:A14" totalsRowShown="0">
  <autoFilter ref="A12:A14" xr:uid="{00000000-0009-0000-0100-000002000000}"/>
  <tableColumns count="1">
    <tableColumn id="1" xr3:uid="{00000000-0010-0000-0200-000001000000}" name="Kolumna1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ela3" displayName="Tabela3" ref="A17:A21" totalsRowShown="0">
  <autoFilter ref="A17:A21" xr:uid="{00000000-0009-0000-0100-000003000000}"/>
  <tableColumns count="1">
    <tableColumn id="1" xr3:uid="{00000000-0010-0000-0300-000001000000}" name="Kolumna1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ela4" displayName="Tabela4" ref="A24:A28" totalsRowShown="0">
  <autoFilter ref="A24:A28" xr:uid="{00000000-0009-0000-0100-000004000000}"/>
  <tableColumns count="1">
    <tableColumn id="1" xr3:uid="{00000000-0010-0000-0400-000001000000}" name="Kolumna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zoomScale="85" zoomScaleNormal="85" workbookViewId="0">
      <selection activeCell="E14" sqref="E14"/>
    </sheetView>
  </sheetViews>
  <sheetFormatPr defaultColWidth="8.85546875" defaultRowHeight="15" x14ac:dyDescent="0.25"/>
  <cols>
    <col min="1" max="1" width="15.7109375" style="11" customWidth="1"/>
    <col min="2" max="2" width="13" style="11" customWidth="1"/>
    <col min="3" max="3" width="15" style="11" customWidth="1"/>
    <col min="4" max="4" width="26.5703125" style="11" customWidth="1"/>
    <col min="5" max="5" width="12.42578125" style="11" customWidth="1"/>
    <col min="6" max="6" width="10.85546875" style="11" customWidth="1"/>
    <col min="7" max="7" width="8.7109375" style="11" customWidth="1"/>
    <col min="8" max="8" width="37.85546875" style="11" customWidth="1"/>
    <col min="9" max="9" width="11.42578125" style="11" customWidth="1"/>
    <col min="10" max="10" width="13" style="11" customWidth="1"/>
    <col min="11" max="16384" width="8.85546875" style="11"/>
  </cols>
  <sheetData>
    <row r="1" spans="1:10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10" ht="18" customHeight="1" thickBot="1" x14ac:dyDescent="0.3">
      <c r="A2" s="248" t="s">
        <v>343</v>
      </c>
      <c r="B2" s="248"/>
      <c r="C2" s="248"/>
      <c r="D2" s="248"/>
      <c r="E2" s="249" t="s">
        <v>125</v>
      </c>
      <c r="F2" s="249"/>
      <c r="G2" s="250"/>
      <c r="H2" s="250"/>
      <c r="I2" s="250"/>
    </row>
    <row r="3" spans="1:10" ht="60" x14ac:dyDescent="0.25">
      <c r="A3" s="2" t="s">
        <v>0</v>
      </c>
      <c r="B3" s="2" t="s">
        <v>140</v>
      </c>
      <c r="C3" s="2" t="s">
        <v>1</v>
      </c>
      <c r="D3" s="92" t="s">
        <v>344</v>
      </c>
      <c r="E3" s="99" t="s">
        <v>106</v>
      </c>
      <c r="F3" s="100" t="s">
        <v>126</v>
      </c>
      <c r="G3" s="97" t="s">
        <v>96</v>
      </c>
      <c r="H3" s="2" t="s">
        <v>95</v>
      </c>
      <c r="I3" s="2" t="s">
        <v>97</v>
      </c>
    </row>
    <row r="4" spans="1:10" ht="90" x14ac:dyDescent="0.25">
      <c r="A4" s="241" t="s">
        <v>2</v>
      </c>
      <c r="B4" s="27" t="s">
        <v>155</v>
      </c>
      <c r="C4" s="27" t="s">
        <v>156</v>
      </c>
      <c r="D4" s="93" t="s">
        <v>520</v>
      </c>
      <c r="E4" s="200">
        <v>132</v>
      </c>
      <c r="F4" s="213"/>
      <c r="G4" s="96" t="str">
        <f>IF(ISBLANK(E4),"",IF(ISTEXT(E4),"Nie dotyczy",IF(E4&gt;89,"Tak","Nie")))</f>
        <v>Tak</v>
      </c>
      <c r="H4" s="3" t="str">
        <f>IF(G4="Nie","Niewystarczająca szerokość furtki. Należy poszerzyć furtkę.","")</f>
        <v/>
      </c>
      <c r="I4" s="28" t="str">
        <f>IF(ISBLANK(E4),"",IF(AND(E4&gt;89,E4&lt;111),"Tak",IF(ISTEXT(E4),"Nie dotyczy","Nie")))</f>
        <v>Nie</v>
      </c>
    </row>
    <row r="5" spans="1:10" ht="75" x14ac:dyDescent="0.25">
      <c r="A5" s="242"/>
      <c r="B5" s="27" t="s">
        <v>292</v>
      </c>
      <c r="C5" s="27"/>
      <c r="D5" s="93" t="s">
        <v>335</v>
      </c>
      <c r="E5" s="101" t="s">
        <v>525</v>
      </c>
      <c r="F5" s="102"/>
      <c r="G5" s="96" t="str">
        <f>IF(ISBLANK(E5),"",E5)</f>
        <v>tak</v>
      </c>
      <c r="H5" s="4" t="str">
        <f>IF(E5="nie","Furtka nie może otwierać się na zewnątrz działki.","")</f>
        <v/>
      </c>
      <c r="I5" s="4" t="s">
        <v>145</v>
      </c>
    </row>
    <row r="6" spans="1:10" ht="90" x14ac:dyDescent="0.25">
      <c r="A6" s="242"/>
      <c r="B6" s="27"/>
      <c r="C6" s="27" t="s">
        <v>293</v>
      </c>
      <c r="D6" s="93" t="s">
        <v>334</v>
      </c>
      <c r="E6" s="148" t="s">
        <v>125</v>
      </c>
      <c r="F6" s="118"/>
      <c r="G6" s="96" t="s">
        <v>145</v>
      </c>
      <c r="H6" s="3"/>
      <c r="I6" s="4" t="str">
        <f>IF(ISBLANK(E6),"",E6)</f>
        <v>Nie</v>
      </c>
    </row>
    <row r="7" spans="1:10" ht="109.15" customHeight="1" x14ac:dyDescent="0.25">
      <c r="A7" s="243"/>
      <c r="B7" s="27" t="s">
        <v>153</v>
      </c>
      <c r="C7" s="27" t="s">
        <v>154</v>
      </c>
      <c r="D7" s="93" t="s">
        <v>336</v>
      </c>
      <c r="E7" s="101" t="s">
        <v>125</v>
      </c>
      <c r="F7" s="102"/>
      <c r="G7" s="96" t="str">
        <f>IF(ISBLANK(E7),"",IF(E7="Tak","Nie",IF(E7="Nie","Tak",IF(E7="Nie dotyczy","Nie dotyczy"))))</f>
        <v>Tak</v>
      </c>
      <c r="H7" s="3" t="str">
        <f>IF(E7="tak","Furtka nie może utrudniać dostępu użytkownikom wózków. Należy przebudować/naprawić/wymienić furtkę","")</f>
        <v/>
      </c>
      <c r="I7" s="4" t="str">
        <f>IF(ISBLANK(E7),"",G7)</f>
        <v>Tak</v>
      </c>
    </row>
    <row r="8" spans="1:10" ht="75" x14ac:dyDescent="0.25">
      <c r="A8" s="5" t="s">
        <v>5</v>
      </c>
      <c r="B8" s="5" t="s">
        <v>3</v>
      </c>
      <c r="C8" s="5" t="s">
        <v>3</v>
      </c>
      <c r="D8" s="94" t="s">
        <v>337</v>
      </c>
      <c r="E8" s="172" t="s">
        <v>124</v>
      </c>
      <c r="F8" s="176"/>
      <c r="G8" s="98" t="str">
        <f>IF(ISBLANK(E8),"",E8)</f>
        <v>Tak</v>
      </c>
      <c r="H8" s="5" t="str">
        <f>IF(E8="nie","Należy zapewnić utwardzone dojście o szerokości minimum 150 cm","")</f>
        <v/>
      </c>
      <c r="I8" s="7" t="str">
        <f>IF(ISBLANK(E8),"",E8)</f>
        <v>Tak</v>
      </c>
    </row>
    <row r="9" spans="1:10" ht="64.900000000000006" customHeight="1" x14ac:dyDescent="0.25">
      <c r="A9" s="241" t="s">
        <v>4</v>
      </c>
      <c r="B9" s="3" t="s">
        <v>98</v>
      </c>
      <c r="C9" s="3" t="s">
        <v>98</v>
      </c>
      <c r="D9" s="95" t="s">
        <v>350</v>
      </c>
      <c r="E9" s="103" t="s">
        <v>124</v>
      </c>
      <c r="F9" s="104"/>
      <c r="G9" s="96" t="str">
        <f>IF(ISBLANK(E9),"",E9)</f>
        <v>Tak</v>
      </c>
      <c r="H9" s="3" t="str">
        <f>IF(E9="nie","Należy zapewnić właściwe nachylenie podłużne dojścia do obiektu","")</f>
        <v/>
      </c>
      <c r="I9" s="4" t="str">
        <f>IF(ISBLANK(E9),"",E9)</f>
        <v>Tak</v>
      </c>
    </row>
    <row r="10" spans="1:10" ht="60" x14ac:dyDescent="0.25">
      <c r="A10" s="242"/>
      <c r="B10" s="3" t="s">
        <v>99</v>
      </c>
      <c r="C10" s="3" t="s">
        <v>141</v>
      </c>
      <c r="D10" s="95" t="s">
        <v>338</v>
      </c>
      <c r="E10" s="103" t="s">
        <v>124</v>
      </c>
      <c r="F10" s="104"/>
      <c r="G10" s="96" t="str">
        <f>IF(ISBLANK(E10),"",E10)</f>
        <v>Tak</v>
      </c>
      <c r="H10" s="3" t="str">
        <f>IF(E10="nie","Należy zapewnić właściwe nachylenie poprzeczne dojścia do obiektu","")</f>
        <v/>
      </c>
      <c r="I10" s="4" t="str">
        <f>IF(ISBLANK(E10),"",E10)</f>
        <v>Tak</v>
      </c>
    </row>
    <row r="11" spans="1:10" ht="105" x14ac:dyDescent="0.25">
      <c r="A11" s="243"/>
      <c r="B11" s="1" t="s">
        <v>100</v>
      </c>
      <c r="D11" s="11" t="s">
        <v>339</v>
      </c>
      <c r="E11" s="103" t="s">
        <v>145</v>
      </c>
      <c r="F11" s="105"/>
      <c r="G11" s="96" t="str">
        <f>IF(ISBLANK(E11),"",E11)</f>
        <v>Nie dotyczy</v>
      </c>
      <c r="H11" s="3" t="str">
        <f>IF(AND(E9="nie",E11="nie"),"Należy przebudować dojście tak, by spełniało wymagania w zakresie przepisów dla chodników lub pochylni","")</f>
        <v/>
      </c>
      <c r="I11" s="4" t="s">
        <v>145</v>
      </c>
      <c r="J11" s="56"/>
    </row>
    <row r="12" spans="1:10" ht="201.6" customHeight="1" x14ac:dyDescent="0.25">
      <c r="A12" s="244" t="s">
        <v>6</v>
      </c>
      <c r="B12" s="5" t="s">
        <v>101</v>
      </c>
      <c r="C12" s="5" t="s">
        <v>102</v>
      </c>
      <c r="D12" s="251" t="s">
        <v>340</v>
      </c>
      <c r="E12" s="172" t="s">
        <v>124</v>
      </c>
      <c r="F12" s="176"/>
      <c r="G12" s="98" t="str">
        <f>IF(ISBLANK(E12),"",E12)</f>
        <v>Tak</v>
      </c>
      <c r="H12" s="5" t="str">
        <f>IF(E12="nie","Należy zapewnić właściwe natężenie i barwę oświetlenia sztucznego.","")</f>
        <v/>
      </c>
      <c r="I12" s="7" t="str">
        <f>IF(ISBLANK(E12),"",E12)</f>
        <v>Tak</v>
      </c>
    </row>
    <row r="13" spans="1:10" ht="180" x14ac:dyDescent="0.25">
      <c r="A13" s="245"/>
      <c r="B13" s="5"/>
      <c r="C13" s="5" t="s">
        <v>103</v>
      </c>
      <c r="D13" s="252"/>
      <c r="E13" s="172" t="s">
        <v>124</v>
      </c>
      <c r="F13" s="199"/>
      <c r="G13" s="98" t="s">
        <v>145</v>
      </c>
      <c r="H13" s="5"/>
      <c r="I13" s="7" t="str">
        <f>IF(ISBLANK(E13),"",E13)</f>
        <v>Tak</v>
      </c>
    </row>
    <row r="14" spans="1:10" ht="105.75" thickBot="1" x14ac:dyDescent="0.3">
      <c r="A14" s="246"/>
      <c r="B14" s="5"/>
      <c r="C14" s="5" t="s">
        <v>104</v>
      </c>
      <c r="D14" s="253"/>
      <c r="E14" s="174" t="s">
        <v>124</v>
      </c>
      <c r="F14" s="175"/>
      <c r="G14" s="98" t="s">
        <v>145</v>
      </c>
      <c r="H14" s="5"/>
      <c r="I14" s="7" t="str">
        <f>IF(ISBLANK(E14),"",E14)</f>
        <v>Tak</v>
      </c>
    </row>
  </sheetData>
  <sheetProtection sheet="1" formatCells="0" formatColumns="0" formatRows="0" insertColumns="0" insertRows="0" insertHyperlinks="0" deleteColumns="0" deleteRows="0"/>
  <protectedRanges>
    <protectedRange sqref="E4:F14" name="dojscie"/>
  </protectedRanges>
  <mergeCells count="7">
    <mergeCell ref="A4:A7"/>
    <mergeCell ref="A9:A11"/>
    <mergeCell ref="A12:A14"/>
    <mergeCell ref="B1:I1"/>
    <mergeCell ref="A2:D2"/>
    <mergeCell ref="E2:I2"/>
    <mergeCell ref="D12:D14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'Dane do list rozwijanych'!$A$2:$A$4</xm:f>
          </x14:formula1>
          <xm:sqref>E5:E14</xm:sqref>
        </x14:dataValidation>
        <x14:dataValidation type="list" allowBlank="1" showInputMessage="1" showErrorMessage="1" xr:uid="{00000000-0002-0000-0000-000001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2A365-65C1-49CC-8E9D-AF9F3F320B2E}">
  <dimension ref="A1:J17"/>
  <sheetViews>
    <sheetView topLeftCell="A13" zoomScale="95" zoomScaleNormal="95" workbookViewId="0">
      <selection activeCell="E21" sqref="E21"/>
    </sheetView>
  </sheetViews>
  <sheetFormatPr defaultColWidth="8.85546875" defaultRowHeight="15" x14ac:dyDescent="0.25"/>
  <cols>
    <col min="1" max="1" width="21.28515625" style="11" customWidth="1"/>
    <col min="2" max="2" width="25.28515625" style="11" customWidth="1"/>
    <col min="3" max="4" width="30.140625" style="11" customWidth="1"/>
    <col min="5" max="5" width="14.42578125" style="11" customWidth="1"/>
    <col min="6" max="6" width="23.5703125" style="11" customWidth="1"/>
    <col min="7" max="7" width="12.28515625" style="12" customWidth="1"/>
    <col min="8" max="8" width="29" style="11" customWidth="1"/>
    <col min="9" max="9" width="8.85546875" style="12"/>
    <col min="10" max="10" width="22.140625" style="11" customWidth="1"/>
    <col min="11" max="16384" width="8.85546875" style="11"/>
  </cols>
  <sheetData>
    <row r="1" spans="1:10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10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10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10" ht="90" x14ac:dyDescent="0.25">
      <c r="A4" s="231" t="s">
        <v>165</v>
      </c>
      <c r="B4" s="231" t="s">
        <v>16</v>
      </c>
      <c r="C4" s="231" t="s">
        <v>16</v>
      </c>
      <c r="D4" s="237" t="s">
        <v>374</v>
      </c>
      <c r="E4" s="76" t="s">
        <v>525</v>
      </c>
      <c r="F4" s="129"/>
      <c r="G4" s="126" t="str">
        <f>IF(ISBLANK(E4),"",E4)</f>
        <v>tak</v>
      </c>
      <c r="H4" s="231" t="str">
        <f>IF(G4="nie","Umieszczenie schodów zawęża trasę wolną od przeszkód w ciągu pieszym. Należy zmienić układ schodów lub ciągu pieszego tak by wzajemnie się nie zaburzały","")</f>
        <v/>
      </c>
      <c r="I4" s="13" t="str">
        <f>G4</f>
        <v>tak</v>
      </c>
    </row>
    <row r="5" spans="1:10" ht="30" x14ac:dyDescent="0.25">
      <c r="A5" s="233" t="s">
        <v>166</v>
      </c>
      <c r="B5" s="233" t="s">
        <v>17</v>
      </c>
      <c r="C5" s="233" t="s">
        <v>33</v>
      </c>
      <c r="D5" s="94" t="s">
        <v>375</v>
      </c>
      <c r="E5" s="172">
        <v>310</v>
      </c>
      <c r="F5" s="176" t="s">
        <v>533</v>
      </c>
      <c r="G5" s="235" t="str">
        <f>IF(ISBLANK(E5),"",IF(ISTEXT(E5),"",IF(E5&lt;120,"Nie","Tak")))</f>
        <v>Tak</v>
      </c>
      <c r="H5" s="233" t="str">
        <f>IF(ISBLANK(E5),"",IF(ISTEXT(E5),"",IF(G5="tak","","Zbyt wąskie schody. Należy zapewnić szerokość zgodną z przepisami")))</f>
        <v/>
      </c>
      <c r="I5" s="79" t="str">
        <f t="shared" ref="I5:I14" si="0">G5</f>
        <v>Tak</v>
      </c>
    </row>
    <row r="6" spans="1:10" ht="30" x14ac:dyDescent="0.25">
      <c r="A6" s="232" t="s">
        <v>18</v>
      </c>
      <c r="B6" s="232" t="s">
        <v>36</v>
      </c>
      <c r="C6" s="232" t="s">
        <v>36</v>
      </c>
      <c r="D6" s="125" t="s">
        <v>376</v>
      </c>
      <c r="E6" s="132">
        <v>3</v>
      </c>
      <c r="F6" s="105"/>
      <c r="G6" s="234" t="str">
        <f>IF(ISBLANK(E6),"",IF(OR(E6&lt;3,E6&gt;10),"Nie","Tak"))</f>
        <v>Tak</v>
      </c>
      <c r="H6" s="232" t="str">
        <f>IF(ISBLANK(E6),"",IF(G6="nie","Niewłaściwa liczba stopni w biegu",""))</f>
        <v/>
      </c>
      <c r="I6" s="13" t="str">
        <f t="shared" si="0"/>
        <v>Tak</v>
      </c>
    </row>
    <row r="7" spans="1:10" ht="30" customHeight="1" x14ac:dyDescent="0.25">
      <c r="A7" s="233" t="s">
        <v>19</v>
      </c>
      <c r="B7" s="233" t="s">
        <v>20</v>
      </c>
      <c r="C7" s="233" t="s">
        <v>34</v>
      </c>
      <c r="D7" s="94" t="s">
        <v>377</v>
      </c>
      <c r="E7" s="225" t="s">
        <v>558</v>
      </c>
      <c r="F7" s="176" t="s">
        <v>559</v>
      </c>
      <c r="G7" s="235" t="e">
        <f>IF(ISBLANK(E7),"",IF(AND(VALUE(RIGHT(E7,RIGHT(LEN(E7)-FIND("/",E7))))&lt;16,VALUE(LEFT(E7,FIND("/",E7)-1))&lt;16),"Tak","Nie"))</f>
        <v>#VALUE!</v>
      </c>
      <c r="H7" s="233" t="e">
        <f>IF(G7="nie","Niewłaściwa wysokość stopni. Należy zapewnić wysokość zgodną z przepisami.","")</f>
        <v>#VALUE!</v>
      </c>
      <c r="I7" s="79" t="e">
        <f t="shared" si="0"/>
        <v>#VALUE!</v>
      </c>
    </row>
    <row r="8" spans="1:10" ht="30" x14ac:dyDescent="0.25">
      <c r="A8" s="232" t="s">
        <v>21</v>
      </c>
      <c r="B8" s="232" t="s">
        <v>22</v>
      </c>
      <c r="C8" s="232" t="s">
        <v>22</v>
      </c>
      <c r="D8" s="125" t="s">
        <v>378</v>
      </c>
      <c r="E8" s="160" t="s">
        <v>560</v>
      </c>
      <c r="F8" s="105" t="s">
        <v>561</v>
      </c>
      <c r="G8" s="234" t="e">
        <f>IF(ISBLANK(E8),"",IF(OR(VALUE(RIGHT(E8,RIGHT(LEN(E8)-FIND("/",E8))))&lt;35,VALUE(LEFT(E8,FIND("/",E8)-1))&lt;35),"Nie","Tak"))</f>
        <v>#VALUE!</v>
      </c>
      <c r="H8" s="232" t="e">
        <f>IF(G8="nie","Niewłaściwa szerokość stopni. Należy zapewnić szerokość zgodną z przepisami.","")</f>
        <v>#VALUE!</v>
      </c>
      <c r="I8" s="13" t="e">
        <f t="shared" si="0"/>
        <v>#VALUE!</v>
      </c>
    </row>
    <row r="9" spans="1:10" ht="120" x14ac:dyDescent="0.25">
      <c r="A9" s="233" t="s">
        <v>298</v>
      </c>
      <c r="B9" s="233" t="s">
        <v>299</v>
      </c>
      <c r="C9" s="233" t="s">
        <v>35</v>
      </c>
      <c r="D9" s="236" t="s">
        <v>379</v>
      </c>
      <c r="E9" s="200" t="s">
        <v>525</v>
      </c>
      <c r="F9" s="176"/>
      <c r="G9" s="235" t="str">
        <f>IF(ISBLANK(E9),"",IF(OR(E9="Nie",E9="tak"),"Nie dotyczy",IF(E9="Tak - dotyczy","Nie","Tak")))</f>
        <v>Nie dotyczy</v>
      </c>
      <c r="H9" s="233" t="str">
        <f>IF(G9="nie","Schody z noskami należy zlikwidować","")</f>
        <v/>
      </c>
      <c r="I9" s="79" t="str">
        <f>IF(ISBLANK(E9),"",IF(OR(E9="Nie - dotyczy",E9="nie"),"Tak",IF(OR(E9="Tak - dotyczy",E9="Tak"),"Nie")))</f>
        <v>Nie</v>
      </c>
    </row>
    <row r="10" spans="1:10" ht="40.15" customHeight="1" x14ac:dyDescent="0.25">
      <c r="A10" s="232" t="s">
        <v>23</v>
      </c>
      <c r="B10" s="232" t="s">
        <v>10</v>
      </c>
      <c r="C10" s="232" t="s">
        <v>35</v>
      </c>
      <c r="D10" s="237" t="s">
        <v>382</v>
      </c>
      <c r="E10" s="101" t="s">
        <v>125</v>
      </c>
      <c r="F10" s="105"/>
      <c r="G10" s="234" t="s">
        <v>145</v>
      </c>
      <c r="H10" s="232"/>
      <c r="I10" s="13" t="str">
        <f>IF(ISBLANK(E10),"",E10)</f>
        <v>Nie</v>
      </c>
    </row>
    <row r="11" spans="1:10" ht="165" x14ac:dyDescent="0.25">
      <c r="A11" s="233" t="s">
        <v>24</v>
      </c>
      <c r="B11" s="233" t="s">
        <v>25</v>
      </c>
      <c r="C11" s="233" t="s">
        <v>37</v>
      </c>
      <c r="D11" s="236" t="s">
        <v>380</v>
      </c>
      <c r="E11" s="200" t="s">
        <v>125</v>
      </c>
      <c r="F11" s="227"/>
      <c r="G11" s="235" t="str">
        <f>IF(ISBLANK(E11),"",E11)</f>
        <v>Nie</v>
      </c>
      <c r="H11" s="233" t="str">
        <f>IF(G11="nie","Należy oznaczyć kolorem kontrastowym krawędź pierwszego i ostatniego stopnia w każdym biegu schodów.","")</f>
        <v>Należy oznaczyć kolorem kontrastowym krawędź pierwszego i ostatniego stopnia w każdym biegu schodów.</v>
      </c>
      <c r="I11" s="79" t="str">
        <f t="shared" si="0"/>
        <v>Nie</v>
      </c>
    </row>
    <row r="12" spans="1:10" ht="120" x14ac:dyDescent="0.25">
      <c r="A12" s="232" t="s">
        <v>26</v>
      </c>
      <c r="B12" s="232" t="s">
        <v>27</v>
      </c>
      <c r="C12" s="232" t="s">
        <v>38</v>
      </c>
      <c r="D12" s="237" t="s">
        <v>383</v>
      </c>
      <c r="E12" s="101" t="s">
        <v>125</v>
      </c>
      <c r="F12" s="105"/>
      <c r="G12" s="234" t="str">
        <f>IF(ISBLANK(E12),"",E12)</f>
        <v>Nie</v>
      </c>
      <c r="H12" s="232" t="str">
        <f>IF(E12="tak","",IF(E12="nie","Należy zapewnić balustradę zgodnie z przepisami.",""))</f>
        <v>Należy zapewnić balustradę zgodnie z przepisami.</v>
      </c>
      <c r="I12" s="13" t="str">
        <f t="shared" si="0"/>
        <v>Nie</v>
      </c>
      <c r="J12" s="56"/>
    </row>
    <row r="13" spans="1:10" s="45" customFormat="1" ht="75" x14ac:dyDescent="0.25">
      <c r="A13" s="233" t="s">
        <v>167</v>
      </c>
      <c r="B13" s="233" t="s">
        <v>30</v>
      </c>
      <c r="C13" s="233" t="s">
        <v>30</v>
      </c>
      <c r="D13" s="236" t="s">
        <v>387</v>
      </c>
      <c r="E13" s="200" t="s">
        <v>125</v>
      </c>
      <c r="F13" s="176"/>
      <c r="G13" s="235" t="str">
        <f>IF(ISBLANK(E13),"",E13)</f>
        <v>Nie</v>
      </c>
      <c r="H13" s="233" t="str">
        <f>IF(E13="tak","",IF(E13="nie","Należy zapewnić balustradę pośrednią.",""))</f>
        <v>Należy zapewnić balustradę pośrednią.</v>
      </c>
      <c r="I13" s="79" t="str">
        <f t="shared" si="0"/>
        <v>Nie</v>
      </c>
    </row>
    <row r="14" spans="1:10" s="57" customFormat="1" ht="90" x14ac:dyDescent="0.25">
      <c r="A14" s="238" t="s">
        <v>28</v>
      </c>
      <c r="B14" s="238" t="s">
        <v>29</v>
      </c>
      <c r="C14" s="238" t="s">
        <v>39</v>
      </c>
      <c r="D14" s="93" t="s">
        <v>384</v>
      </c>
      <c r="E14" s="101" t="s">
        <v>145</v>
      </c>
      <c r="F14" s="104"/>
      <c r="G14" s="109" t="str">
        <f>IF(ISBLANK(E14),"",E14)</f>
        <v>Nie dotyczy</v>
      </c>
      <c r="H14" s="238" t="str">
        <f>IF(E14="tak","",IF(E14="nie","Należy zapewnić wymaganą odległość poręczy od ściany.",""))</f>
        <v/>
      </c>
      <c r="I14" s="4" t="str">
        <f t="shared" si="0"/>
        <v>Nie dotyczy</v>
      </c>
    </row>
    <row r="15" spans="1:10" s="71" customFormat="1" ht="56.45" customHeight="1" x14ac:dyDescent="0.25">
      <c r="A15" s="244" t="s">
        <v>31</v>
      </c>
      <c r="B15" s="233"/>
      <c r="C15" s="233" t="s">
        <v>151</v>
      </c>
      <c r="D15" s="94" t="s">
        <v>386</v>
      </c>
      <c r="E15" s="172" t="s">
        <v>145</v>
      </c>
      <c r="F15" s="176"/>
      <c r="G15" s="235" t="s">
        <v>145</v>
      </c>
      <c r="H15" s="233"/>
      <c r="I15" s="79" t="str">
        <f>IF(ISBLANK(E15),"",IF(ISTEXT(E15),E15,IF(E15=75,"Tak","Nie")))</f>
        <v>Nie dotyczy</v>
      </c>
    </row>
    <row r="16" spans="1:10" s="71" customFormat="1" ht="75" x14ac:dyDescent="0.25">
      <c r="A16" s="246"/>
      <c r="B16" s="233">
        <v>110</v>
      </c>
      <c r="C16" s="233" t="s">
        <v>152</v>
      </c>
      <c r="D16" s="94" t="s">
        <v>386</v>
      </c>
      <c r="E16" s="172" t="s">
        <v>145</v>
      </c>
      <c r="F16" s="176"/>
      <c r="G16" s="235" t="str">
        <f>IF(ISBLANK(E16),"",IF(ISTEXT(E16),E16,IF(E16=110,"Tak","Nie")))</f>
        <v>Nie dotyczy</v>
      </c>
      <c r="H16" s="233" t="str">
        <f>IF(G16="nie","Należy zapewnić poręcz zamontowaną na wysokości 110 cm","")</f>
        <v/>
      </c>
      <c r="I16" s="79" t="str">
        <f>IF(ISBLANK(E16),"",IF(ISTEXT(E16),E16,IF(E16=110,"Tak","Nie")))</f>
        <v>Nie dotyczy</v>
      </c>
    </row>
    <row r="17" spans="1:9" ht="105.75" thickBot="1" x14ac:dyDescent="0.3">
      <c r="A17" s="238" t="s">
        <v>32</v>
      </c>
      <c r="B17" s="238" t="s">
        <v>10</v>
      </c>
      <c r="C17" s="238" t="s">
        <v>40</v>
      </c>
      <c r="D17" s="239" t="s">
        <v>385</v>
      </c>
      <c r="E17" s="144" t="s">
        <v>145</v>
      </c>
      <c r="F17" s="145"/>
      <c r="G17" s="234" t="s">
        <v>145</v>
      </c>
      <c r="H17" s="232"/>
      <c r="I17" s="13" t="str">
        <f>IF(ISBLANK(E17),"",IF(ISTEXT(E17),E17,IF(AND(E17&gt;3.4,E17&lt;4.6),"Tak","Nie")))</f>
        <v>Nie dotyczy</v>
      </c>
    </row>
  </sheetData>
  <sheetProtection sheet="1" objects="1" scenarios="1"/>
  <protectedRanges>
    <protectedRange sqref="E4:F17" name="Rozstęp1"/>
  </protectedRanges>
  <mergeCells count="4">
    <mergeCell ref="B1:I1"/>
    <mergeCell ref="A2:D2"/>
    <mergeCell ref="E2:I2"/>
    <mergeCell ref="A15:A16"/>
  </mergeCell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E9BFB2F3-0F4E-48B8-94A9-FC653DA6F55D}">
          <x14:formula1>
            <xm:f>'Dane do list rozwijanych'!$A$8:$A$9</xm:f>
          </x14:formula1>
          <xm:sqref>E2:I2</xm:sqref>
        </x14:dataValidation>
        <x14:dataValidation type="list" allowBlank="1" showInputMessage="1" showErrorMessage="1" xr:uid="{8EFC1BBE-F317-4CF0-B576-8D0A8C512753}">
          <x14:formula1>
            <xm:f>'Dane do list rozwijanych'!$A$18:$A$21</xm:f>
          </x14:formula1>
          <xm:sqref>E9</xm:sqref>
        </x14:dataValidation>
        <x14:dataValidation type="list" allowBlank="1" showInputMessage="1" showErrorMessage="1" xr:uid="{69270F16-6B4B-4A02-9635-B9CFE9988F27}">
          <x14:formula1>
            <xm:f>'Dane do list rozwijanych'!$A$2:$A$4</xm:f>
          </x14:formula1>
          <xm:sqref>E10:E14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E2768-0619-4C17-AB69-C25711D8461D}">
  <dimension ref="A1:J17"/>
  <sheetViews>
    <sheetView topLeftCell="A9" zoomScale="95" zoomScaleNormal="95" workbookViewId="0">
      <selection activeCell="E9" sqref="E9"/>
    </sheetView>
  </sheetViews>
  <sheetFormatPr defaultColWidth="8.85546875" defaultRowHeight="15" x14ac:dyDescent="0.25"/>
  <cols>
    <col min="1" max="1" width="21.28515625" style="11" customWidth="1"/>
    <col min="2" max="2" width="25.28515625" style="11" customWidth="1"/>
    <col min="3" max="4" width="30.140625" style="11" customWidth="1"/>
    <col min="5" max="5" width="14.42578125" style="11" customWidth="1"/>
    <col min="6" max="6" width="23.5703125" style="11" customWidth="1"/>
    <col min="7" max="7" width="12.28515625" style="12" customWidth="1"/>
    <col min="8" max="8" width="29" style="11" customWidth="1"/>
    <col min="9" max="9" width="8.85546875" style="12"/>
    <col min="10" max="10" width="22.140625" style="11" customWidth="1"/>
    <col min="11" max="16384" width="8.85546875" style="11"/>
  </cols>
  <sheetData>
    <row r="1" spans="1:10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10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10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10" ht="90" x14ac:dyDescent="0.25">
      <c r="A4" s="231" t="s">
        <v>165</v>
      </c>
      <c r="B4" s="231" t="s">
        <v>16</v>
      </c>
      <c r="C4" s="231" t="s">
        <v>16</v>
      </c>
      <c r="D4" s="237" t="s">
        <v>374</v>
      </c>
      <c r="E4" s="76" t="s">
        <v>532</v>
      </c>
      <c r="F4" s="129"/>
      <c r="G4" s="126" t="str">
        <f>IF(ISBLANK(E4),"",E4)</f>
        <v>nie</v>
      </c>
      <c r="H4" s="231" t="str">
        <f>IF(G4="nie","Umieszczenie schodów zawęża trasę wolną od przeszkód w ciągu pieszym. Należy zmienić układ schodów lub ciągu pieszego tak by wzajemnie się nie zaburzały","")</f>
        <v>Umieszczenie schodów zawęża trasę wolną od przeszkód w ciągu pieszym. Należy zmienić układ schodów lub ciągu pieszego tak by wzajemnie się nie zaburzały</v>
      </c>
      <c r="I4" s="13" t="str">
        <f>G4</f>
        <v>nie</v>
      </c>
    </row>
    <row r="5" spans="1:10" ht="30" x14ac:dyDescent="0.25">
      <c r="A5" s="233" t="s">
        <v>166</v>
      </c>
      <c r="B5" s="233" t="s">
        <v>17</v>
      </c>
      <c r="C5" s="233" t="s">
        <v>33</v>
      </c>
      <c r="D5" s="94" t="s">
        <v>375</v>
      </c>
      <c r="E5" s="172">
        <v>315</v>
      </c>
      <c r="F5" s="176" t="s">
        <v>533</v>
      </c>
      <c r="G5" s="235" t="str">
        <f>IF(ISBLANK(E5),"",IF(ISTEXT(E5),"",IF(E5&lt;120,"Nie","Tak")))</f>
        <v>Tak</v>
      </c>
      <c r="H5" s="233" t="str">
        <f>IF(ISBLANK(E5),"",IF(ISTEXT(E5),"",IF(G5="tak","","Zbyt wąskie schody. Należy zapewnić szerokość zgodną z przepisami")))</f>
        <v/>
      </c>
      <c r="I5" s="79" t="str">
        <f t="shared" ref="I5:I14" si="0">G5</f>
        <v>Tak</v>
      </c>
    </row>
    <row r="6" spans="1:10" ht="30" x14ac:dyDescent="0.25">
      <c r="A6" s="232" t="s">
        <v>18</v>
      </c>
      <c r="B6" s="232" t="s">
        <v>36</v>
      </c>
      <c r="C6" s="232" t="s">
        <v>36</v>
      </c>
      <c r="D6" s="125" t="s">
        <v>376</v>
      </c>
      <c r="E6" s="132">
        <v>2</v>
      </c>
      <c r="F6" s="105"/>
      <c r="G6" s="234" t="str">
        <f>IF(ISBLANK(E6),"",IF(OR(E6&lt;3,E6&gt;10),"Nie","Tak"))</f>
        <v>Nie</v>
      </c>
      <c r="H6" s="232" t="str">
        <f>IF(ISBLANK(E6),"",IF(G6="nie","Niewłaściwa liczba stopni w biegu",""))</f>
        <v>Niewłaściwa liczba stopni w biegu</v>
      </c>
      <c r="I6" s="13" t="str">
        <f t="shared" si="0"/>
        <v>Nie</v>
      </c>
    </row>
    <row r="7" spans="1:10" ht="30" customHeight="1" x14ac:dyDescent="0.25">
      <c r="A7" s="233" t="s">
        <v>19</v>
      </c>
      <c r="B7" s="233" t="s">
        <v>20</v>
      </c>
      <c r="C7" s="233" t="s">
        <v>34</v>
      </c>
      <c r="D7" s="94" t="s">
        <v>377</v>
      </c>
      <c r="E7" s="225" t="s">
        <v>562</v>
      </c>
      <c r="F7" s="176">
        <v>1.1200000000000001</v>
      </c>
      <c r="G7" s="235" t="e">
        <f>IF(ISBLANK(E7),"",IF(AND(VALUE(RIGHT(E7,RIGHT(LEN(E7)-FIND("/",E7))))&lt;16,VALUE(LEFT(E7,FIND("/",E7)-1))&lt;16),"Tak","Nie"))</f>
        <v>#VALUE!</v>
      </c>
      <c r="H7" s="233" t="e">
        <f>IF(G7="nie","Niewłaściwa wysokość stopni. Należy zapewnić wysokość zgodną z przepisami.","")</f>
        <v>#VALUE!</v>
      </c>
      <c r="I7" s="79" t="e">
        <f t="shared" si="0"/>
        <v>#VALUE!</v>
      </c>
    </row>
    <row r="8" spans="1:10" ht="30" x14ac:dyDescent="0.25">
      <c r="A8" s="232" t="s">
        <v>21</v>
      </c>
      <c r="B8" s="232" t="s">
        <v>22</v>
      </c>
      <c r="C8" s="232" t="s">
        <v>22</v>
      </c>
      <c r="D8" s="125" t="s">
        <v>378</v>
      </c>
      <c r="E8" s="160" t="s">
        <v>563</v>
      </c>
      <c r="F8" s="105"/>
      <c r="G8" s="234" t="e">
        <f>IF(ISBLANK(E8),"",IF(OR(VALUE(RIGHT(E8,RIGHT(LEN(E8)-FIND("/",E8))))&lt;35,VALUE(LEFT(E8,FIND("/",E8)-1))&lt;35),"Nie","Tak"))</f>
        <v>#VALUE!</v>
      </c>
      <c r="H8" s="232" t="e">
        <f>IF(G8="nie","Niewłaściwa szerokość stopni. Należy zapewnić szerokość zgodną z przepisami.","")</f>
        <v>#VALUE!</v>
      </c>
      <c r="I8" s="13" t="e">
        <f t="shared" si="0"/>
        <v>#VALUE!</v>
      </c>
    </row>
    <row r="9" spans="1:10" ht="120" x14ac:dyDescent="0.25">
      <c r="A9" s="233" t="s">
        <v>298</v>
      </c>
      <c r="B9" s="233" t="s">
        <v>299</v>
      </c>
      <c r="C9" s="233" t="s">
        <v>35</v>
      </c>
      <c r="D9" s="236" t="s">
        <v>379</v>
      </c>
      <c r="E9" s="200" t="s">
        <v>525</v>
      </c>
      <c r="F9" s="176"/>
      <c r="G9" s="235" t="str">
        <f>IF(ISBLANK(E9),"",IF(OR(E9="Nie",E9="tak"),"Nie dotyczy",IF(E9="Tak - dotyczy","Nie","Tak")))</f>
        <v>Nie dotyczy</v>
      </c>
      <c r="H9" s="233" t="str">
        <f>IF(G9="nie","Schody z noskami należy zlikwidować","")</f>
        <v/>
      </c>
      <c r="I9" s="79" t="str">
        <f>IF(ISBLANK(E9),"",IF(OR(E9="Nie - dotyczy",E9="nie"),"Tak",IF(OR(E9="Tak - dotyczy",E9="Tak"),"Nie")))</f>
        <v>Nie</v>
      </c>
    </row>
    <row r="10" spans="1:10" ht="40.15" customHeight="1" x14ac:dyDescent="0.25">
      <c r="A10" s="232" t="s">
        <v>23</v>
      </c>
      <c r="B10" s="232" t="s">
        <v>10</v>
      </c>
      <c r="C10" s="232" t="s">
        <v>35</v>
      </c>
      <c r="D10" s="237" t="s">
        <v>382</v>
      </c>
      <c r="E10" s="101" t="s">
        <v>125</v>
      </c>
      <c r="F10" s="105"/>
      <c r="G10" s="234" t="s">
        <v>145</v>
      </c>
      <c r="H10" s="232"/>
      <c r="I10" s="13" t="str">
        <f>IF(ISBLANK(E10),"",E10)</f>
        <v>Nie</v>
      </c>
    </row>
    <row r="11" spans="1:10" ht="165" x14ac:dyDescent="0.25">
      <c r="A11" s="233" t="s">
        <v>24</v>
      </c>
      <c r="B11" s="233" t="s">
        <v>25</v>
      </c>
      <c r="C11" s="233" t="s">
        <v>37</v>
      </c>
      <c r="D11" s="236" t="s">
        <v>380</v>
      </c>
      <c r="E11" s="200" t="s">
        <v>125</v>
      </c>
      <c r="F11" s="227"/>
      <c r="G11" s="235" t="str">
        <f>IF(ISBLANK(E11),"",E11)</f>
        <v>Nie</v>
      </c>
      <c r="H11" s="233" t="str">
        <f>IF(G11="nie","Należy oznaczyć kolorem kontrastowym krawędź pierwszego i ostatniego stopnia w każdym biegu schodów.","")</f>
        <v>Należy oznaczyć kolorem kontrastowym krawędź pierwszego i ostatniego stopnia w każdym biegu schodów.</v>
      </c>
      <c r="I11" s="79" t="str">
        <f t="shared" si="0"/>
        <v>Nie</v>
      </c>
    </row>
    <row r="12" spans="1:10" ht="120" x14ac:dyDescent="0.25">
      <c r="A12" s="232" t="s">
        <v>26</v>
      </c>
      <c r="B12" s="232" t="s">
        <v>27</v>
      </c>
      <c r="C12" s="232" t="s">
        <v>38</v>
      </c>
      <c r="D12" s="237" t="s">
        <v>383</v>
      </c>
      <c r="E12" s="101" t="s">
        <v>125</v>
      </c>
      <c r="F12" s="105"/>
      <c r="G12" s="234" t="str">
        <f>IF(ISBLANK(E12),"",E12)</f>
        <v>Nie</v>
      </c>
      <c r="H12" s="232" t="str">
        <f>IF(E12="tak","",IF(E12="nie","Należy zapewnić balustradę zgodnie z przepisami.",""))</f>
        <v>Należy zapewnić balustradę zgodnie z przepisami.</v>
      </c>
      <c r="I12" s="13" t="str">
        <f t="shared" si="0"/>
        <v>Nie</v>
      </c>
      <c r="J12" s="56"/>
    </row>
    <row r="13" spans="1:10" s="45" customFormat="1" ht="75" x14ac:dyDescent="0.25">
      <c r="A13" s="233" t="s">
        <v>167</v>
      </c>
      <c r="B13" s="233" t="s">
        <v>30</v>
      </c>
      <c r="C13" s="233" t="s">
        <v>30</v>
      </c>
      <c r="D13" s="236" t="s">
        <v>387</v>
      </c>
      <c r="E13" s="200" t="s">
        <v>125</v>
      </c>
      <c r="F13" s="176"/>
      <c r="G13" s="235" t="str">
        <f>IF(ISBLANK(E13),"",E13)</f>
        <v>Nie</v>
      </c>
      <c r="H13" s="233" t="str">
        <f>IF(E13="tak","",IF(E13="nie","Należy zapewnić balustradę pośrednią.",""))</f>
        <v>Należy zapewnić balustradę pośrednią.</v>
      </c>
      <c r="I13" s="79" t="str">
        <f t="shared" si="0"/>
        <v>Nie</v>
      </c>
    </row>
    <row r="14" spans="1:10" s="57" customFormat="1" ht="90" x14ac:dyDescent="0.25">
      <c r="A14" s="238" t="s">
        <v>28</v>
      </c>
      <c r="B14" s="238" t="s">
        <v>29</v>
      </c>
      <c r="C14" s="238" t="s">
        <v>39</v>
      </c>
      <c r="D14" s="93" t="s">
        <v>384</v>
      </c>
      <c r="E14" s="101" t="s">
        <v>145</v>
      </c>
      <c r="F14" s="104"/>
      <c r="G14" s="109" t="str">
        <f>IF(ISBLANK(E14),"",E14)</f>
        <v>Nie dotyczy</v>
      </c>
      <c r="H14" s="238" t="str">
        <f>IF(E14="tak","",IF(E14="nie","Należy zapewnić wymaganą odległość poręczy od ściany.",""))</f>
        <v/>
      </c>
      <c r="I14" s="4" t="str">
        <f t="shared" si="0"/>
        <v>Nie dotyczy</v>
      </c>
    </row>
    <row r="15" spans="1:10" s="71" customFormat="1" ht="56.45" customHeight="1" x14ac:dyDescent="0.25">
      <c r="A15" s="244" t="s">
        <v>31</v>
      </c>
      <c r="B15" s="233"/>
      <c r="C15" s="233" t="s">
        <v>151</v>
      </c>
      <c r="D15" s="94" t="s">
        <v>386</v>
      </c>
      <c r="E15" s="172" t="s">
        <v>145</v>
      </c>
      <c r="F15" s="176"/>
      <c r="G15" s="235" t="s">
        <v>145</v>
      </c>
      <c r="H15" s="233"/>
      <c r="I15" s="79" t="str">
        <f>IF(ISBLANK(E15),"",IF(ISTEXT(E15),E15,IF(E15=75,"Tak","Nie")))</f>
        <v>Nie dotyczy</v>
      </c>
    </row>
    <row r="16" spans="1:10" s="71" customFormat="1" ht="75" x14ac:dyDescent="0.25">
      <c r="A16" s="246"/>
      <c r="B16" s="233">
        <v>110</v>
      </c>
      <c r="C16" s="233" t="s">
        <v>152</v>
      </c>
      <c r="D16" s="94" t="s">
        <v>386</v>
      </c>
      <c r="E16" s="172" t="s">
        <v>145</v>
      </c>
      <c r="F16" s="176"/>
      <c r="G16" s="235" t="str">
        <f>IF(ISBLANK(E16),"",IF(ISTEXT(E16),E16,IF(E16=110,"Tak","Nie")))</f>
        <v>Nie dotyczy</v>
      </c>
      <c r="H16" s="233" t="str">
        <f>IF(G16="nie","Należy zapewnić poręcz zamontowaną na wysokości 110 cm","")</f>
        <v/>
      </c>
      <c r="I16" s="79" t="str">
        <f>IF(ISBLANK(E16),"",IF(ISTEXT(E16),E16,IF(E16=110,"Tak","Nie")))</f>
        <v>Nie dotyczy</v>
      </c>
    </row>
    <row r="17" spans="1:9" ht="105.75" thickBot="1" x14ac:dyDescent="0.3">
      <c r="A17" s="238" t="s">
        <v>32</v>
      </c>
      <c r="B17" s="238" t="s">
        <v>10</v>
      </c>
      <c r="C17" s="238" t="s">
        <v>40</v>
      </c>
      <c r="D17" s="239" t="s">
        <v>385</v>
      </c>
      <c r="E17" s="144" t="s">
        <v>145</v>
      </c>
      <c r="F17" s="145"/>
      <c r="G17" s="234" t="s">
        <v>145</v>
      </c>
      <c r="H17" s="232"/>
      <c r="I17" s="13" t="str">
        <f>IF(ISBLANK(E17),"",IF(ISTEXT(E17),E17,IF(AND(E17&gt;3.4,E17&lt;4.6),"Tak","Nie")))</f>
        <v>Nie dotyczy</v>
      </c>
    </row>
  </sheetData>
  <sheetProtection sheet="1" objects="1" scenarios="1"/>
  <protectedRanges>
    <protectedRange sqref="E4:F17" name="Rozstęp1"/>
  </protectedRanges>
  <mergeCells count="4">
    <mergeCell ref="B1:I1"/>
    <mergeCell ref="A2:D2"/>
    <mergeCell ref="E2:I2"/>
    <mergeCell ref="A15:A16"/>
  </mergeCell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E17E26A-5613-478E-B361-1329B13A7602}">
          <x14:formula1>
            <xm:f>'Dane do list rozwijanych'!$A$8:$A$9</xm:f>
          </x14:formula1>
          <xm:sqref>E2:I2</xm:sqref>
        </x14:dataValidation>
        <x14:dataValidation type="list" allowBlank="1" showInputMessage="1" showErrorMessage="1" xr:uid="{723A5858-0698-4187-A052-FEA9599FC1D5}">
          <x14:formula1>
            <xm:f>'Dane do list rozwijanych'!$A$18:$A$21</xm:f>
          </x14:formula1>
          <xm:sqref>E9</xm:sqref>
        </x14:dataValidation>
        <x14:dataValidation type="list" allowBlank="1" showInputMessage="1" showErrorMessage="1" xr:uid="{143B516D-0EFB-43BF-9DD6-9F366ED25978}">
          <x14:formula1>
            <xm:f>'Dane do list rozwijanych'!$A$2:$A$4</xm:f>
          </x14:formula1>
          <xm:sqref>E10:E14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7"/>
  <sheetViews>
    <sheetView topLeftCell="A12" zoomScale="95" zoomScaleNormal="95" workbookViewId="0">
      <selection activeCell="E18" sqref="E18"/>
    </sheetView>
  </sheetViews>
  <sheetFormatPr defaultColWidth="8.85546875" defaultRowHeight="15" x14ac:dyDescent="0.25"/>
  <cols>
    <col min="1" max="1" width="21.28515625" style="11" customWidth="1"/>
    <col min="2" max="2" width="25.28515625" style="11" customWidth="1"/>
    <col min="3" max="4" width="30.140625" style="11" customWidth="1"/>
    <col min="5" max="5" width="14.42578125" style="11" customWidth="1"/>
    <col min="6" max="6" width="23.5703125" style="11" customWidth="1"/>
    <col min="7" max="7" width="12.28515625" style="12" customWidth="1"/>
    <col min="8" max="8" width="29" style="11" customWidth="1"/>
    <col min="9" max="9" width="8.85546875" style="12"/>
    <col min="10" max="10" width="22.140625" style="11" customWidth="1"/>
    <col min="11" max="16384" width="8.85546875" style="11"/>
  </cols>
  <sheetData>
    <row r="1" spans="1:10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10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10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10" ht="90" x14ac:dyDescent="0.25">
      <c r="A4" s="29" t="s">
        <v>165</v>
      </c>
      <c r="B4" s="29" t="s">
        <v>16</v>
      </c>
      <c r="C4" s="29" t="s">
        <v>16</v>
      </c>
      <c r="D4" s="124" t="s">
        <v>374</v>
      </c>
      <c r="E4" s="76" t="s">
        <v>525</v>
      </c>
      <c r="F4" s="129"/>
      <c r="G4" s="126" t="str">
        <f>IF(ISBLANK(E4),"",E4)</f>
        <v>tak</v>
      </c>
      <c r="H4" s="29" t="str">
        <f>IF(G4="nie","Umieszczenie schodów zawęża trasę wolną od przeszkód w ciągu pieszym. Należy zmienić układ schodów lub ciągu pieszego tak by wzajemnie się nie zaburzały","")</f>
        <v/>
      </c>
      <c r="I4" s="13" t="str">
        <f>G4</f>
        <v>tak</v>
      </c>
    </row>
    <row r="5" spans="1:10" ht="30" x14ac:dyDescent="0.25">
      <c r="A5" s="5" t="s">
        <v>166</v>
      </c>
      <c r="B5" s="5" t="s">
        <v>17</v>
      </c>
      <c r="C5" s="5" t="s">
        <v>33</v>
      </c>
      <c r="D5" s="94" t="s">
        <v>375</v>
      </c>
      <c r="E5" s="172">
        <v>310</v>
      </c>
      <c r="F5" s="176" t="s">
        <v>533</v>
      </c>
      <c r="G5" s="111" t="str">
        <f>IF(ISBLANK(E5),"",IF(ISTEXT(E5),"",IF(E5&lt;120,"Nie","Tak")))</f>
        <v>Tak</v>
      </c>
      <c r="H5" s="5" t="str">
        <f>IF(ISBLANK(E5),"",IF(ISTEXT(E5),"",IF(G5="tak","","Zbyt wąskie schody. Należy zapewnić szerokość zgodną z przepisami")))</f>
        <v/>
      </c>
      <c r="I5" s="7" t="str">
        <f t="shared" ref="I5:I14" si="0">G5</f>
        <v>Tak</v>
      </c>
    </row>
    <row r="6" spans="1:10" ht="30" x14ac:dyDescent="0.25">
      <c r="A6" s="1" t="s">
        <v>18</v>
      </c>
      <c r="B6" s="1" t="s">
        <v>36</v>
      </c>
      <c r="C6" s="1" t="s">
        <v>36</v>
      </c>
      <c r="D6" s="125" t="s">
        <v>376</v>
      </c>
      <c r="E6" s="132">
        <v>2</v>
      </c>
      <c r="F6" s="105"/>
      <c r="G6" s="127" t="str">
        <f>IF(ISBLANK(E6),"",IF(OR(E6&lt;3,E6&gt;10),"Nie","Tak"))</f>
        <v>Nie</v>
      </c>
      <c r="H6" s="1" t="str">
        <f>IF(ISBLANK(E6),"",IF(G6="nie","Niewłaściwa liczba stopni w biegu",""))</f>
        <v>Niewłaściwa liczba stopni w biegu</v>
      </c>
      <c r="I6" s="13" t="str">
        <f t="shared" si="0"/>
        <v>Nie</v>
      </c>
    </row>
    <row r="7" spans="1:10" ht="30" customHeight="1" x14ac:dyDescent="0.25">
      <c r="A7" s="5" t="s">
        <v>19</v>
      </c>
      <c r="B7" s="5" t="s">
        <v>20</v>
      </c>
      <c r="C7" s="5" t="s">
        <v>34</v>
      </c>
      <c r="D7" s="94" t="s">
        <v>377</v>
      </c>
      <c r="E7" s="225" t="s">
        <v>530</v>
      </c>
      <c r="F7" s="176" t="s">
        <v>529</v>
      </c>
      <c r="G7" s="111" t="e">
        <f>IF(ISBLANK(E7),"",IF(AND(VALUE(RIGHT(E7,RIGHT(LEN(E7)-FIND("/",E7))))&lt;16,VALUE(LEFT(E7,FIND("/",E7)-1))&lt;16),"Tak","Nie"))</f>
        <v>#VALUE!</v>
      </c>
      <c r="H7" s="5" t="e">
        <f>IF(G7="nie","Niewłaściwa wysokość stopni. Należy zapewnić wysokość zgodną z przepisami.","")</f>
        <v>#VALUE!</v>
      </c>
      <c r="I7" s="7" t="e">
        <f t="shared" si="0"/>
        <v>#VALUE!</v>
      </c>
    </row>
    <row r="8" spans="1:10" ht="30" x14ac:dyDescent="0.25">
      <c r="A8" s="1" t="s">
        <v>21</v>
      </c>
      <c r="B8" s="1" t="s">
        <v>22</v>
      </c>
      <c r="C8" s="1" t="s">
        <v>22</v>
      </c>
      <c r="D8" s="125" t="s">
        <v>378</v>
      </c>
      <c r="E8" s="160" t="s">
        <v>531</v>
      </c>
      <c r="F8" s="105"/>
      <c r="G8" s="127" t="e">
        <f>IF(ISBLANK(E8),"",IF(OR(VALUE(RIGHT(E8,RIGHT(LEN(E8)-FIND("/",E8))))&lt;35,VALUE(LEFT(E8,FIND("/",E8)-1))&lt;35),"Nie","Tak"))</f>
        <v>#VALUE!</v>
      </c>
      <c r="H8" s="1" t="e">
        <f>IF(G8="nie","Niewłaściwa szerokość stopni. Należy zapewnić szerokość zgodną z przepisami.","")</f>
        <v>#VALUE!</v>
      </c>
      <c r="I8" s="13" t="e">
        <f t="shared" si="0"/>
        <v>#VALUE!</v>
      </c>
    </row>
    <row r="9" spans="1:10" ht="120" x14ac:dyDescent="0.25">
      <c r="A9" s="5" t="s">
        <v>298</v>
      </c>
      <c r="B9" s="5" t="s">
        <v>299</v>
      </c>
      <c r="C9" s="5" t="s">
        <v>35</v>
      </c>
      <c r="D9" s="107" t="s">
        <v>379</v>
      </c>
      <c r="E9" s="200" t="s">
        <v>532</v>
      </c>
      <c r="F9" s="176"/>
      <c r="G9" s="111" t="str">
        <f>IF(ISBLANK(E9),"",IF(OR(E9="Nie",E9="tak"),"Nie dotyczy",IF(E9="Tak - dotyczy","Nie","Tak")))</f>
        <v>Nie dotyczy</v>
      </c>
      <c r="H9" s="5" t="str">
        <f>IF(G9="nie","Schody z noskami należy zlikwidować","")</f>
        <v/>
      </c>
      <c r="I9" s="7" t="str">
        <f>IF(ISBLANK(E9),"",IF(OR(E9="Nie - dotyczy",E9="nie"),"Tak",IF(OR(E9="Tak - dotyczy",E9="Tak"),"Nie")))</f>
        <v>Tak</v>
      </c>
    </row>
    <row r="10" spans="1:10" ht="40.15" customHeight="1" x14ac:dyDescent="0.25">
      <c r="A10" s="1" t="s">
        <v>23</v>
      </c>
      <c r="B10" s="1" t="s">
        <v>10</v>
      </c>
      <c r="C10" s="1" t="s">
        <v>35</v>
      </c>
      <c r="D10" s="124" t="s">
        <v>382</v>
      </c>
      <c r="E10" s="101" t="s">
        <v>125</v>
      </c>
      <c r="F10" s="105"/>
      <c r="G10" s="127" t="s">
        <v>145</v>
      </c>
      <c r="H10" s="1"/>
      <c r="I10" s="13" t="str">
        <f>IF(ISBLANK(E10),"",E10)</f>
        <v>Nie</v>
      </c>
    </row>
    <row r="11" spans="1:10" ht="165" x14ac:dyDescent="0.25">
      <c r="A11" s="5" t="s">
        <v>24</v>
      </c>
      <c r="B11" s="5" t="s">
        <v>25</v>
      </c>
      <c r="C11" s="5" t="s">
        <v>37</v>
      </c>
      <c r="D11" s="107" t="s">
        <v>380</v>
      </c>
      <c r="E11" s="200" t="s">
        <v>125</v>
      </c>
      <c r="F11" s="227"/>
      <c r="G11" s="111" t="str">
        <f>IF(ISBLANK(E11),"",E11)</f>
        <v>Nie</v>
      </c>
      <c r="H11" s="5" t="str">
        <f>IF(G11="nie","Należy oznaczyć kolorem kontrastowym krawędź pierwszego i ostatniego stopnia w każdym biegu schodów.","")</f>
        <v>Należy oznaczyć kolorem kontrastowym krawędź pierwszego i ostatniego stopnia w każdym biegu schodów.</v>
      </c>
      <c r="I11" s="7" t="str">
        <f t="shared" si="0"/>
        <v>Nie</v>
      </c>
    </row>
    <row r="12" spans="1:10" ht="120" x14ac:dyDescent="0.25">
      <c r="A12" s="1" t="s">
        <v>26</v>
      </c>
      <c r="B12" s="1" t="s">
        <v>27</v>
      </c>
      <c r="C12" s="1" t="s">
        <v>38</v>
      </c>
      <c r="D12" s="124" t="s">
        <v>383</v>
      </c>
      <c r="E12" s="101" t="s">
        <v>125</v>
      </c>
      <c r="F12" s="105"/>
      <c r="G12" s="127" t="str">
        <f>IF(ISBLANK(E12),"",E12)</f>
        <v>Nie</v>
      </c>
      <c r="H12" s="1" t="str">
        <f>IF(E12="tak","",IF(E12="nie","Należy zapewnić balustradę zgodnie z przepisami.",""))</f>
        <v>Należy zapewnić balustradę zgodnie z przepisami.</v>
      </c>
      <c r="I12" s="13" t="str">
        <f t="shared" si="0"/>
        <v>Nie</v>
      </c>
      <c r="J12" s="56"/>
    </row>
    <row r="13" spans="1:10" s="45" customFormat="1" ht="75" x14ac:dyDescent="0.25">
      <c r="A13" s="5" t="s">
        <v>167</v>
      </c>
      <c r="B13" s="5" t="s">
        <v>30</v>
      </c>
      <c r="C13" s="5" t="s">
        <v>30</v>
      </c>
      <c r="D13" s="107" t="s">
        <v>387</v>
      </c>
      <c r="E13" s="200" t="s">
        <v>125</v>
      </c>
      <c r="F13" s="176"/>
      <c r="G13" s="111" t="str">
        <f>IF(ISBLANK(E13),"",E13)</f>
        <v>Nie</v>
      </c>
      <c r="H13" s="5" t="str">
        <f>IF(E13="tak","",IF(E13="nie","Należy zapewnić balustradę pośrednią.",""))</f>
        <v>Należy zapewnić balustradę pośrednią.</v>
      </c>
      <c r="I13" s="7" t="str">
        <f t="shared" ref="I13" si="1">G13</f>
        <v>Nie</v>
      </c>
    </row>
    <row r="14" spans="1:10" s="57" customFormat="1" ht="90" x14ac:dyDescent="0.25">
      <c r="A14" s="3" t="s">
        <v>28</v>
      </c>
      <c r="B14" s="3" t="s">
        <v>29</v>
      </c>
      <c r="C14" s="3" t="s">
        <v>39</v>
      </c>
      <c r="D14" s="93" t="s">
        <v>384</v>
      </c>
      <c r="E14" s="101" t="s">
        <v>145</v>
      </c>
      <c r="F14" s="104"/>
      <c r="G14" s="109" t="str">
        <f>IF(ISBLANK(E14),"",E14)</f>
        <v>Nie dotyczy</v>
      </c>
      <c r="H14" s="3" t="str">
        <f>IF(E14="tak","",IF(E14="nie","Należy zapewnić wymaganą odległość poręczy od ściany.",""))</f>
        <v/>
      </c>
      <c r="I14" s="4" t="str">
        <f t="shared" si="0"/>
        <v>Nie dotyczy</v>
      </c>
    </row>
    <row r="15" spans="1:10" s="71" customFormat="1" ht="56.45" customHeight="1" x14ac:dyDescent="0.25">
      <c r="A15" s="244" t="s">
        <v>31</v>
      </c>
      <c r="B15" s="53"/>
      <c r="C15" s="53" t="s">
        <v>151</v>
      </c>
      <c r="D15" s="94" t="s">
        <v>386</v>
      </c>
      <c r="E15" s="172" t="s">
        <v>145</v>
      </c>
      <c r="F15" s="176"/>
      <c r="G15" s="111" t="s">
        <v>145</v>
      </c>
      <c r="H15" s="53"/>
      <c r="I15" s="7" t="str">
        <f>IF(ISBLANK(E15),"",IF(ISTEXT(E15),E15,IF(E15=75,"Tak","Nie")))</f>
        <v>Nie dotyczy</v>
      </c>
    </row>
    <row r="16" spans="1:10" s="71" customFormat="1" ht="75" x14ac:dyDescent="0.25">
      <c r="A16" s="246"/>
      <c r="B16" s="53">
        <v>110</v>
      </c>
      <c r="C16" s="53" t="s">
        <v>152</v>
      </c>
      <c r="D16" s="94" t="s">
        <v>386</v>
      </c>
      <c r="E16" s="172" t="s">
        <v>145</v>
      </c>
      <c r="F16" s="176"/>
      <c r="G16" s="111" t="str">
        <f>IF(ISBLANK(E16),"",IF(ISTEXT(E16),E16,IF(E16=110,"Tak","Nie")))</f>
        <v>Nie dotyczy</v>
      </c>
      <c r="H16" s="53" t="str">
        <f>IF(G16="nie","Należy zapewnić poręcz zamontowaną na wysokości 110 cm","")</f>
        <v/>
      </c>
      <c r="I16" s="7" t="str">
        <f>IF(ISBLANK(E16),"",IF(ISTEXT(E16),E16,IF(E16=110,"Tak","Nie")))</f>
        <v>Nie dotyczy</v>
      </c>
    </row>
    <row r="17" spans="1:9" ht="105.75" thickBot="1" x14ac:dyDescent="0.3">
      <c r="A17" s="3" t="s">
        <v>32</v>
      </c>
      <c r="B17" s="3" t="s">
        <v>10</v>
      </c>
      <c r="C17" s="3" t="s">
        <v>40</v>
      </c>
      <c r="D17" s="95" t="s">
        <v>385</v>
      </c>
      <c r="E17" s="144" t="s">
        <v>145</v>
      </c>
      <c r="F17" s="145"/>
      <c r="G17" s="127" t="s">
        <v>145</v>
      </c>
      <c r="H17" s="1"/>
      <c r="I17" s="13" t="str">
        <f>IF(ISBLANK(E17),"",IF(ISTEXT(E17),E17,IF(AND(E17&gt;3.4,E17&lt;4.6),"Tak","Nie")))</f>
        <v>Nie dotyczy</v>
      </c>
    </row>
  </sheetData>
  <sheetProtection sheet="1" objects="1" scenarios="1"/>
  <protectedRanges>
    <protectedRange sqref="E4:F17" name="Rozstęp1"/>
  </protectedRanges>
  <mergeCells count="4">
    <mergeCell ref="A15:A16"/>
    <mergeCell ref="B1:I1"/>
    <mergeCell ref="A2:D2"/>
    <mergeCell ref="E2:I2"/>
  </mergeCells>
  <pageMargins left="0.7" right="0.7" top="0.75" bottom="0.75" header="0.3" footer="0.3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400-000000000000}">
          <x14:formula1>
            <xm:f>'Dane do list rozwijanych'!$A$2:$A$4</xm:f>
          </x14:formula1>
          <xm:sqref>E10:E14</xm:sqref>
        </x14:dataValidation>
        <x14:dataValidation type="list" allowBlank="1" showInputMessage="1" showErrorMessage="1" xr:uid="{00000000-0002-0000-0400-000001000000}">
          <x14:formula1>
            <xm:f>'Dane do list rozwijanych'!$A$18:$A$21</xm:f>
          </x14:formula1>
          <xm:sqref>E9</xm:sqref>
        </x14:dataValidation>
        <x14:dataValidation type="list" allowBlank="1" showInputMessage="1" showErrorMessage="1" xr:uid="{00000000-0002-0000-0400-000002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0EB67-86B9-421D-A971-095812B33F69}">
  <dimension ref="A1:I6"/>
  <sheetViews>
    <sheetView topLeftCell="A4" zoomScale="93" zoomScaleNormal="93" workbookViewId="0">
      <selection activeCell="E5" sqref="E5"/>
    </sheetView>
  </sheetViews>
  <sheetFormatPr defaultColWidth="8.85546875" defaultRowHeight="15" x14ac:dyDescent="0.25"/>
  <cols>
    <col min="1" max="1" width="27" style="11" customWidth="1"/>
    <col min="2" max="2" width="43" style="11" customWidth="1"/>
    <col min="3" max="4" width="28.7109375" style="11" customWidth="1"/>
    <col min="5" max="5" width="16.28515625" style="11" customWidth="1"/>
    <col min="6" max="6" width="10.7109375" style="11" customWidth="1"/>
    <col min="7" max="7" width="8.85546875" style="12"/>
    <col min="8" max="8" width="10.710937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108" customHeight="1" x14ac:dyDescent="0.25">
      <c r="A4" s="231" t="s">
        <v>57</v>
      </c>
      <c r="B4" s="231" t="s">
        <v>218</v>
      </c>
      <c r="C4" s="231" t="s">
        <v>218</v>
      </c>
      <c r="D4" s="237" t="s">
        <v>397</v>
      </c>
      <c r="E4" s="128" t="s">
        <v>124</v>
      </c>
      <c r="F4" s="129"/>
      <c r="G4" s="126" t="str">
        <f>IF(ISBLANK(E4),"",E4)</f>
        <v>Tak</v>
      </c>
      <c r="H4" s="231" t="str">
        <f>IF(G4="tak","",IF(G4="nie","Należy zapewnić szerokość ciągów komunikacyjnych zgodną z przepisami",""))</f>
        <v/>
      </c>
      <c r="I4" s="13" t="str">
        <f>G4</f>
        <v>Tak</v>
      </c>
    </row>
    <row r="5" spans="1:9" ht="165" x14ac:dyDescent="0.25">
      <c r="A5" s="233" t="s">
        <v>168</v>
      </c>
      <c r="B5" s="233" t="s">
        <v>58</v>
      </c>
      <c r="C5" s="233" t="s">
        <v>58</v>
      </c>
      <c r="D5" s="94" t="s">
        <v>398</v>
      </c>
      <c r="E5" s="172" t="s">
        <v>568</v>
      </c>
      <c r="F5" s="176"/>
      <c r="G5" s="158"/>
      <c r="H5" s="18"/>
      <c r="I5" s="17"/>
    </row>
    <row r="6" spans="1:9" ht="165.75" thickBot="1" x14ac:dyDescent="0.3">
      <c r="A6" s="232" t="s">
        <v>169</v>
      </c>
      <c r="B6" s="232" t="s">
        <v>59</v>
      </c>
      <c r="C6" s="232" t="s">
        <v>59</v>
      </c>
      <c r="D6" s="94" t="s">
        <v>399</v>
      </c>
      <c r="E6" s="144" t="s">
        <v>541</v>
      </c>
      <c r="F6" s="145"/>
      <c r="G6" s="158"/>
      <c r="H6" s="18"/>
      <c r="I6" s="17"/>
    </row>
  </sheetData>
  <sheetProtection sheet="1" objects="1" scenarios="1"/>
  <protectedRanges>
    <protectedRange sqref="E4:F6" name="Rozstęp1"/>
  </protectedRanges>
  <mergeCells count="3">
    <mergeCell ref="B1:I1"/>
    <mergeCell ref="A2:D2"/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9065E9E-F7F9-476C-8543-241A5B7E2306}">
          <x14:formula1>
            <xm:f>'Dane do list rozwijanych'!$A$8:$A$9</xm:f>
          </x14:formula1>
          <xm:sqref>E4 E2:I2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97673A-BC82-464D-A9EE-CC36523ADE8F}">
  <dimension ref="A1:I12"/>
  <sheetViews>
    <sheetView topLeftCell="A11" zoomScaleNormal="100" workbookViewId="0">
      <selection activeCell="E12" sqref="E12"/>
    </sheetView>
  </sheetViews>
  <sheetFormatPr defaultColWidth="8.85546875" defaultRowHeight="15" x14ac:dyDescent="0.25"/>
  <cols>
    <col min="1" max="1" width="27.42578125" style="11" customWidth="1"/>
    <col min="2" max="2" width="13.7109375" style="11" customWidth="1"/>
    <col min="3" max="4" width="24.28515625" style="11" customWidth="1"/>
    <col min="5" max="5" width="14.5703125" style="11" customWidth="1"/>
    <col min="6" max="6" width="15.85546875" style="11" customWidth="1"/>
    <col min="7" max="7" width="8.85546875" style="12"/>
    <col min="8" max="8" width="29.570312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117.75" customHeight="1" x14ac:dyDescent="0.25">
      <c r="A4" s="231" t="s">
        <v>41</v>
      </c>
      <c r="B4" s="231"/>
      <c r="C4" s="231" t="s">
        <v>54</v>
      </c>
      <c r="D4" s="237" t="s">
        <v>388</v>
      </c>
      <c r="E4" s="128" t="s">
        <v>566</v>
      </c>
      <c r="F4" s="129"/>
      <c r="G4" s="126" t="s">
        <v>145</v>
      </c>
      <c r="H4" s="231"/>
      <c r="I4" s="13" t="str">
        <f>IF(ISBLANK(E4),"",IF(OR(VALUE(RIGHT(E4,RIGHT(LEN(E4)-FIND("/",E4))))&lt;150,VALUE(LEFT(E4,FIND("/",E4)-1))&lt;150),"Nie","Tak"))</f>
        <v>Tak</v>
      </c>
    </row>
    <row r="5" spans="1:9" ht="136.15" customHeight="1" x14ac:dyDescent="0.25">
      <c r="A5" s="233" t="s">
        <v>42</v>
      </c>
      <c r="B5" s="233"/>
      <c r="C5" s="233" t="s">
        <v>42</v>
      </c>
      <c r="D5" s="236" t="s">
        <v>389</v>
      </c>
      <c r="E5" s="200" t="s">
        <v>124</v>
      </c>
      <c r="F5" s="176"/>
      <c r="G5" s="235" t="s">
        <v>145</v>
      </c>
      <c r="H5" s="233"/>
      <c r="I5" s="79" t="str">
        <f>IF(ISBLANK(E5),"",E5)</f>
        <v>Tak</v>
      </c>
    </row>
    <row r="6" spans="1:9" ht="210" customHeight="1" x14ac:dyDescent="0.25">
      <c r="A6" s="232" t="s">
        <v>43</v>
      </c>
      <c r="B6" s="232"/>
      <c r="C6" s="232" t="s">
        <v>54</v>
      </c>
      <c r="D6" s="237" t="s">
        <v>392</v>
      </c>
      <c r="E6" s="130" t="s">
        <v>566</v>
      </c>
      <c r="F6" s="105"/>
      <c r="G6" s="234" t="s">
        <v>145</v>
      </c>
      <c r="H6" s="232"/>
      <c r="I6" s="13" t="str">
        <f>IF(ISBLANK(E6),"",IF(OR(VALUE(RIGHT(E6,RIGHT(LEN(E6)-FIND("/",E6))))&lt;150,VALUE(LEFT(E6,FIND("/",E6)-1))&lt;150),"Nie","Tak"))</f>
        <v>Tak</v>
      </c>
    </row>
    <row r="7" spans="1:9" ht="105" x14ac:dyDescent="0.25">
      <c r="A7" s="233" t="s">
        <v>44</v>
      </c>
      <c r="B7" s="233" t="s">
        <v>49</v>
      </c>
      <c r="C7" s="233" t="s">
        <v>49</v>
      </c>
      <c r="D7" s="236" t="s">
        <v>390</v>
      </c>
      <c r="E7" s="200" t="s">
        <v>124</v>
      </c>
      <c r="F7" s="176"/>
      <c r="G7" s="235" t="str">
        <f>IF(ISBLANK(E7),"",IF(E7&gt;=90,"Tak","Nie"))</f>
        <v>Tak</v>
      </c>
      <c r="H7" s="233" t="str">
        <f>IF(ISBLANK(E7),"",IF(G7="Tak","","Należy zapewnić drzwi o szerokości minimum 90 cm w świetle ościeżnicy."))</f>
        <v/>
      </c>
      <c r="I7" s="79" t="str">
        <f>G7</f>
        <v>Tak</v>
      </c>
    </row>
    <row r="8" spans="1:9" ht="30" x14ac:dyDescent="0.25">
      <c r="A8" s="232" t="s">
        <v>45</v>
      </c>
      <c r="B8" s="232" t="s">
        <v>50</v>
      </c>
      <c r="C8" s="232" t="s">
        <v>56</v>
      </c>
      <c r="D8" s="125" t="s">
        <v>391</v>
      </c>
      <c r="E8" s="132">
        <v>0</v>
      </c>
      <c r="F8" s="105"/>
      <c r="G8" s="234" t="str">
        <f>IF(ISBLANK(E8),"",IF(E8&lt;=2,"Tak","Nie"))</f>
        <v>Tak</v>
      </c>
      <c r="H8" s="232" t="str">
        <f>IF(ISBLANK(E8),"",IF(G8="Tak","","Należy usunąć całkowicie lub obniżyć próg do wysokości nie większej niż 2 cm."))</f>
        <v/>
      </c>
      <c r="I8" s="13" t="str">
        <f>IF(ISBLANK(E8),"",IF(E8&lt;=0.5,"Tak","Nie"))</f>
        <v>Tak</v>
      </c>
    </row>
    <row r="9" spans="1:9" ht="255" x14ac:dyDescent="0.25">
      <c r="A9" s="233" t="s">
        <v>46</v>
      </c>
      <c r="B9" s="233" t="s">
        <v>51</v>
      </c>
      <c r="C9" s="233" t="s">
        <v>55</v>
      </c>
      <c r="D9" s="236" t="s">
        <v>393</v>
      </c>
      <c r="E9" s="200" t="s">
        <v>125</v>
      </c>
      <c r="F9" s="176"/>
      <c r="G9" s="235" t="str">
        <f>IF(ISBLANK(E9),"",E9)</f>
        <v>Nie</v>
      </c>
      <c r="H9" s="233" t="str">
        <f>IF(ISBLANK(E9),"",IF(E9="tak","",IF(E9="nie","Należy oznaczyć drzwi dwoma pasami kontrastowymi umieszczonymi na wysokości około 100 i 140 cm",E9)))</f>
        <v>Należy oznaczyć drzwi dwoma pasami kontrastowymi umieszczonymi na wysokości około 100 i 140 cm</v>
      </c>
      <c r="I9" s="79" t="str">
        <f>G9</f>
        <v>Nie</v>
      </c>
    </row>
    <row r="10" spans="1:9" ht="112.9" customHeight="1" x14ac:dyDescent="0.25">
      <c r="A10" s="232" t="s">
        <v>300</v>
      </c>
      <c r="B10" s="232"/>
      <c r="C10" s="232" t="s">
        <v>301</v>
      </c>
      <c r="D10" s="237" t="s">
        <v>394</v>
      </c>
      <c r="E10" s="130" t="s">
        <v>125</v>
      </c>
      <c r="F10" s="105"/>
      <c r="G10" s="234" t="s">
        <v>145</v>
      </c>
      <c r="H10" s="232"/>
      <c r="I10" s="13" t="str">
        <f>IF(ISBLANK(E10),"",IF(E10="tak","Nie",IF(E10="Nie","Tak",E10)))</f>
        <v>Tak</v>
      </c>
    </row>
    <row r="11" spans="1:9" ht="150" x14ac:dyDescent="0.25">
      <c r="A11" s="233" t="s">
        <v>47</v>
      </c>
      <c r="B11" s="233"/>
      <c r="C11" s="233" t="s">
        <v>52</v>
      </c>
      <c r="D11" s="236" t="s">
        <v>395</v>
      </c>
      <c r="E11" s="200" t="s">
        <v>532</v>
      </c>
      <c r="F11" s="176"/>
      <c r="G11" s="235" t="s">
        <v>145</v>
      </c>
      <c r="H11" s="233"/>
      <c r="I11" s="79" t="str">
        <f>IF(ISBLANK(E11),"",E11)</f>
        <v>nie</v>
      </c>
    </row>
    <row r="12" spans="1:9" ht="210.75" thickBot="1" x14ac:dyDescent="0.3">
      <c r="A12" s="232" t="s">
        <v>48</v>
      </c>
      <c r="B12" s="232" t="s">
        <v>53</v>
      </c>
      <c r="C12" s="232" t="s">
        <v>53</v>
      </c>
      <c r="D12" s="237" t="s">
        <v>396</v>
      </c>
      <c r="E12" s="159" t="s">
        <v>526</v>
      </c>
      <c r="F12" s="145"/>
      <c r="G12" s="234" t="str">
        <f>IF(ISBLANK(E12),"",IF(E12="nie dotyczy",E12,IF(OR(VALUE(RIGHT(E12,RIGHT(LEN(E12)-FIND("/",E12))))&lt;150,VALUE(LEFT(E12,FIND("/",E12)-1))&lt;150),"Nie","Tak")))</f>
        <v>nie dotyczy</v>
      </c>
      <c r="H12" s="232" t="str">
        <f>IF(ISBLANK(E12),"",IF(OR(G12="tak",G12="nie dotyczy"),"","Niewystarczająca powierzchnia manewrowa w wiatrołapie. Należy zapewnić powierzchnię o wymiarach minimum 150x150 cm."))</f>
        <v/>
      </c>
      <c r="I12" s="13" t="str">
        <f>G12</f>
        <v>nie dotyczy</v>
      </c>
    </row>
  </sheetData>
  <sheetProtection sheet="1" objects="1" scenarios="1"/>
  <protectedRanges>
    <protectedRange sqref="E4:F12" name="Rozstęp1"/>
  </protectedRanges>
  <mergeCells count="3">
    <mergeCell ref="B1:I1"/>
    <mergeCell ref="A2:D2"/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2D1EC36-B56E-4E00-9EC2-1F4E40108725}">
          <x14:formula1>
            <xm:f>'Dane do list rozwijanych'!$A$8:$A$9</xm:f>
          </x14:formula1>
          <xm:sqref>E2:I2</xm:sqref>
        </x14:dataValidation>
        <x14:dataValidation type="list" allowBlank="1" showInputMessage="1" showErrorMessage="1" xr:uid="{CA44B9B3-19CB-42CB-B86E-F865B391A0F6}">
          <x14:formula1>
            <xm:f>'Dane do list rozwijanych'!$A$2:$A$4</xm:f>
          </x14:formula1>
          <xm:sqref>E5 E7 E9:E11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B3186-322C-49B4-8CB2-8ADC1FADDB9D}">
  <dimension ref="A1:I12"/>
  <sheetViews>
    <sheetView zoomScaleNormal="100" workbookViewId="0">
      <selection activeCell="E12" sqref="E12"/>
    </sheetView>
  </sheetViews>
  <sheetFormatPr defaultColWidth="8.85546875" defaultRowHeight="15" x14ac:dyDescent="0.25"/>
  <cols>
    <col min="1" max="1" width="27.42578125" style="11" customWidth="1"/>
    <col min="2" max="2" width="13.7109375" style="11" customWidth="1"/>
    <col min="3" max="4" width="24.28515625" style="11" customWidth="1"/>
    <col min="5" max="5" width="14.5703125" style="11" customWidth="1"/>
    <col min="6" max="6" width="15.85546875" style="11" customWidth="1"/>
    <col min="7" max="7" width="8.85546875" style="12"/>
    <col min="8" max="8" width="29.570312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117.75" customHeight="1" x14ac:dyDescent="0.25">
      <c r="A4" s="231" t="s">
        <v>41</v>
      </c>
      <c r="B4" s="231"/>
      <c r="C4" s="231" t="s">
        <v>54</v>
      </c>
      <c r="D4" s="237" t="s">
        <v>388</v>
      </c>
      <c r="E4" s="128" t="s">
        <v>564</v>
      </c>
      <c r="F4" s="129"/>
      <c r="G4" s="126" t="s">
        <v>145</v>
      </c>
      <c r="H4" s="231"/>
      <c r="I4" s="13" t="str">
        <f>IF(ISBLANK(E4),"",IF(OR(VALUE(RIGHT(E4,RIGHT(LEN(E4)-FIND("/",E4))))&lt;150,VALUE(LEFT(E4,FIND("/",E4)-1))&lt;150),"Nie","Tak"))</f>
        <v>Tak</v>
      </c>
    </row>
    <row r="5" spans="1:9" ht="136.15" customHeight="1" x14ac:dyDescent="0.25">
      <c r="A5" s="233" t="s">
        <v>42</v>
      </c>
      <c r="B5" s="233"/>
      <c r="C5" s="233" t="s">
        <v>42</v>
      </c>
      <c r="D5" s="236" t="s">
        <v>389</v>
      </c>
      <c r="E5" s="200" t="s">
        <v>124</v>
      </c>
      <c r="F5" s="176" t="s">
        <v>535</v>
      </c>
      <c r="G5" s="235" t="s">
        <v>145</v>
      </c>
      <c r="H5" s="233"/>
      <c r="I5" s="79" t="str">
        <f>IF(ISBLANK(E5),"",E5)</f>
        <v>Tak</v>
      </c>
    </row>
    <row r="6" spans="1:9" ht="210" customHeight="1" x14ac:dyDescent="0.25">
      <c r="A6" s="232" t="s">
        <v>43</v>
      </c>
      <c r="B6" s="232"/>
      <c r="C6" s="232" t="s">
        <v>54</v>
      </c>
      <c r="D6" s="237" t="s">
        <v>392</v>
      </c>
      <c r="E6" s="130" t="s">
        <v>565</v>
      </c>
      <c r="F6" s="105"/>
      <c r="G6" s="234" t="s">
        <v>145</v>
      </c>
      <c r="H6" s="232"/>
      <c r="I6" s="13" t="str">
        <f>IF(ISBLANK(E6),"",IF(OR(VALUE(RIGHT(E6,RIGHT(LEN(E6)-FIND("/",E6))))&lt;150,VALUE(LEFT(E6,FIND("/",E6)-1))&lt;150),"Nie","Tak"))</f>
        <v>Tak</v>
      </c>
    </row>
    <row r="7" spans="1:9" ht="105" x14ac:dyDescent="0.25">
      <c r="A7" s="233" t="s">
        <v>44</v>
      </c>
      <c r="B7" s="233" t="s">
        <v>49</v>
      </c>
      <c r="C7" s="233" t="s">
        <v>49</v>
      </c>
      <c r="D7" s="236" t="s">
        <v>390</v>
      </c>
      <c r="E7" s="200" t="s">
        <v>125</v>
      </c>
      <c r="F7" s="176"/>
      <c r="G7" s="235" t="str">
        <f>IF(ISBLANK(E7),"",IF(E7&gt;=90,"Tak","Nie"))</f>
        <v>Tak</v>
      </c>
      <c r="H7" s="233" t="str">
        <f>IF(ISBLANK(E7),"",IF(G7="Tak","","Należy zapewnić drzwi o szerokości minimum 90 cm w świetle ościeżnicy."))</f>
        <v/>
      </c>
      <c r="I7" s="79" t="str">
        <f>G7</f>
        <v>Tak</v>
      </c>
    </row>
    <row r="8" spans="1:9" ht="30" x14ac:dyDescent="0.25">
      <c r="A8" s="232" t="s">
        <v>45</v>
      </c>
      <c r="B8" s="232" t="s">
        <v>50</v>
      </c>
      <c r="C8" s="232" t="s">
        <v>56</v>
      </c>
      <c r="D8" s="125" t="s">
        <v>391</v>
      </c>
      <c r="E8" s="132">
        <v>1.5</v>
      </c>
      <c r="F8" s="105"/>
      <c r="G8" s="234" t="str">
        <f>IF(ISBLANK(E8),"",IF(E8&lt;=2,"Tak","Nie"))</f>
        <v>Tak</v>
      </c>
      <c r="H8" s="232" t="str">
        <f>IF(ISBLANK(E8),"",IF(G8="Tak","","Należy usunąć całkowicie lub obniżyć próg do wysokości nie większej niż 2 cm."))</f>
        <v/>
      </c>
      <c r="I8" s="13" t="str">
        <f>IF(ISBLANK(E8),"",IF(E8&lt;=0.5,"Tak","Nie"))</f>
        <v>Nie</v>
      </c>
    </row>
    <row r="9" spans="1:9" ht="255" x14ac:dyDescent="0.25">
      <c r="A9" s="233" t="s">
        <v>46</v>
      </c>
      <c r="B9" s="233" t="s">
        <v>51</v>
      </c>
      <c r="C9" s="233" t="s">
        <v>55</v>
      </c>
      <c r="D9" s="236" t="s">
        <v>393</v>
      </c>
      <c r="E9" s="200" t="s">
        <v>125</v>
      </c>
      <c r="F9" s="176"/>
      <c r="G9" s="235" t="str">
        <f>IF(ISBLANK(E9),"",E9)</f>
        <v>Nie</v>
      </c>
      <c r="H9" s="233" t="str">
        <f>IF(ISBLANK(E9),"",IF(E9="tak","",IF(E9="nie","Należy oznaczyć drzwi dwoma pasami kontrastowymi umieszczonymi na wysokości około 100 i 140 cm",E9)))</f>
        <v>Należy oznaczyć drzwi dwoma pasami kontrastowymi umieszczonymi na wysokości około 100 i 140 cm</v>
      </c>
      <c r="I9" s="79" t="str">
        <f>G9</f>
        <v>Nie</v>
      </c>
    </row>
    <row r="10" spans="1:9" ht="112.9" customHeight="1" x14ac:dyDescent="0.25">
      <c r="A10" s="232" t="s">
        <v>300</v>
      </c>
      <c r="B10" s="232"/>
      <c r="C10" s="232" t="s">
        <v>301</v>
      </c>
      <c r="D10" s="237" t="s">
        <v>394</v>
      </c>
      <c r="E10" s="130" t="s">
        <v>532</v>
      </c>
      <c r="F10" s="105"/>
      <c r="G10" s="234" t="s">
        <v>145</v>
      </c>
      <c r="H10" s="232"/>
      <c r="I10" s="13" t="str">
        <f>IF(ISBLANK(E10),"",IF(E10="tak","Nie",IF(E10="Nie","Tak",E10)))</f>
        <v>Tak</v>
      </c>
    </row>
    <row r="11" spans="1:9" ht="150" x14ac:dyDescent="0.25">
      <c r="A11" s="233" t="s">
        <v>47</v>
      </c>
      <c r="B11" s="233"/>
      <c r="C11" s="233" t="s">
        <v>52</v>
      </c>
      <c r="D11" s="236" t="s">
        <v>395</v>
      </c>
      <c r="E11" s="200" t="s">
        <v>124</v>
      </c>
      <c r="F11" s="176"/>
      <c r="G11" s="235" t="s">
        <v>145</v>
      </c>
      <c r="H11" s="233"/>
      <c r="I11" s="79" t="str">
        <f>IF(ISBLANK(E11),"",E11)</f>
        <v>Tak</v>
      </c>
    </row>
    <row r="12" spans="1:9" ht="210.75" thickBot="1" x14ac:dyDescent="0.3">
      <c r="A12" s="232" t="s">
        <v>48</v>
      </c>
      <c r="B12" s="232" t="s">
        <v>53</v>
      </c>
      <c r="C12" s="232" t="s">
        <v>53</v>
      </c>
      <c r="D12" s="237" t="s">
        <v>396</v>
      </c>
      <c r="E12" s="159" t="s">
        <v>526</v>
      </c>
      <c r="F12" s="145"/>
      <c r="G12" s="234" t="str">
        <f>IF(ISBLANK(E12),"",IF(E12="nie dotyczy",E12,IF(OR(VALUE(RIGHT(E12,RIGHT(LEN(E12)-FIND("/",E12))))&lt;150,VALUE(LEFT(E12,FIND("/",E12)-1))&lt;150),"Nie","Tak")))</f>
        <v>nie dotyczy</v>
      </c>
      <c r="H12" s="232" t="str">
        <f>IF(ISBLANK(E12),"",IF(OR(G12="tak",G12="nie dotyczy"),"","Niewystarczająca powierzchnia manewrowa w wiatrołapie. Należy zapewnić powierzchnię o wymiarach minimum 150x150 cm."))</f>
        <v/>
      </c>
      <c r="I12" s="13" t="str">
        <f>G12</f>
        <v>nie dotyczy</v>
      </c>
    </row>
  </sheetData>
  <sheetProtection sheet="1" objects="1" scenarios="1"/>
  <protectedRanges>
    <protectedRange sqref="E4:F12" name="Rozstęp1"/>
  </protectedRanges>
  <mergeCells count="3">
    <mergeCell ref="B1:I1"/>
    <mergeCell ref="A2:D2"/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1A52F78-E418-42CC-9048-5FD034C77528}">
          <x14:formula1>
            <xm:f>'Dane do list rozwijanych'!$A$8:$A$9</xm:f>
          </x14:formula1>
          <xm:sqref>E2:I2</xm:sqref>
        </x14:dataValidation>
        <x14:dataValidation type="list" allowBlank="1" showInputMessage="1" showErrorMessage="1" xr:uid="{5DCAE471-4DC9-4B68-B4DF-B4E3D40BBCCE}">
          <x14:formula1>
            <xm:f>'Dane do list rozwijanych'!$A$2:$A$4</xm:f>
          </x14:formula1>
          <xm:sqref>E5 E7 E9:E11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2"/>
  <sheetViews>
    <sheetView zoomScaleNormal="100" workbookViewId="0">
      <selection activeCell="F4" sqref="F4"/>
    </sheetView>
  </sheetViews>
  <sheetFormatPr defaultColWidth="8.85546875" defaultRowHeight="15" x14ac:dyDescent="0.25"/>
  <cols>
    <col min="1" max="1" width="27.42578125" style="11" customWidth="1"/>
    <col min="2" max="2" width="13.7109375" style="11" customWidth="1"/>
    <col min="3" max="4" width="24.28515625" style="11" customWidth="1"/>
    <col min="5" max="5" width="14.5703125" style="11" customWidth="1"/>
    <col min="6" max="6" width="15.85546875" style="11" customWidth="1"/>
    <col min="7" max="7" width="8.85546875" style="12"/>
    <col min="8" max="8" width="29.570312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117.75" customHeight="1" x14ac:dyDescent="0.25">
      <c r="A4" s="10" t="s">
        <v>41</v>
      </c>
      <c r="B4" s="10"/>
      <c r="C4" s="10" t="s">
        <v>54</v>
      </c>
      <c r="D4" s="124" t="s">
        <v>388</v>
      </c>
      <c r="E4" s="128" t="s">
        <v>534</v>
      </c>
      <c r="F4" s="129" t="s">
        <v>539</v>
      </c>
      <c r="G4" s="126" t="s">
        <v>145</v>
      </c>
      <c r="H4" s="10"/>
      <c r="I4" s="13" t="str">
        <f>IF(ISBLANK(E4),"",IF(OR(VALUE(RIGHT(E4,RIGHT(LEN(E4)-FIND("/",E4))))&lt;150,VALUE(LEFT(E4,FIND("/",E4)-1))&lt;150),"Nie","Tak"))</f>
        <v>Tak</v>
      </c>
    </row>
    <row r="5" spans="1:9" ht="136.15" customHeight="1" x14ac:dyDescent="0.25">
      <c r="A5" s="5" t="s">
        <v>42</v>
      </c>
      <c r="B5" s="5"/>
      <c r="C5" s="5" t="s">
        <v>42</v>
      </c>
      <c r="D5" s="107" t="s">
        <v>389</v>
      </c>
      <c r="E5" s="200" t="s">
        <v>124</v>
      </c>
      <c r="F5" s="176" t="s">
        <v>535</v>
      </c>
      <c r="G5" s="111" t="s">
        <v>145</v>
      </c>
      <c r="H5" s="5"/>
      <c r="I5" s="7" t="str">
        <f>IF(ISBLANK(E5),"",E5)</f>
        <v>Tak</v>
      </c>
    </row>
    <row r="6" spans="1:9" ht="210" customHeight="1" x14ac:dyDescent="0.25">
      <c r="A6" s="1" t="s">
        <v>43</v>
      </c>
      <c r="B6" s="1"/>
      <c r="C6" s="1" t="s">
        <v>54</v>
      </c>
      <c r="D6" s="124" t="s">
        <v>392</v>
      </c>
      <c r="E6" s="130" t="s">
        <v>536</v>
      </c>
      <c r="F6" s="105"/>
      <c r="G6" s="127" t="s">
        <v>145</v>
      </c>
      <c r="H6" s="1"/>
      <c r="I6" s="13" t="str">
        <f>IF(ISBLANK(E6),"",IF(OR(VALUE(RIGHT(E6,RIGHT(LEN(E6)-FIND("/",E6))))&lt;150,VALUE(LEFT(E6,FIND("/",E6)-1))&lt;150),"Nie","Tak"))</f>
        <v>Nie</v>
      </c>
    </row>
    <row r="7" spans="1:9" ht="105" x14ac:dyDescent="0.25">
      <c r="A7" s="5" t="s">
        <v>44</v>
      </c>
      <c r="B7" s="5" t="s">
        <v>49</v>
      </c>
      <c r="C7" s="5" t="s">
        <v>49</v>
      </c>
      <c r="D7" s="107" t="s">
        <v>390</v>
      </c>
      <c r="E7" s="200" t="s">
        <v>125</v>
      </c>
      <c r="F7" s="176"/>
      <c r="G7" s="111" t="str">
        <f>IF(ISBLANK(E7),"",IF(E7&gt;=90,"Tak","Nie"))</f>
        <v>Tak</v>
      </c>
      <c r="H7" s="5" t="str">
        <f>IF(ISBLANK(E7),"",IF(G7="Tak","","Należy zapewnić drzwi o szerokości minimum 90 cm w świetle ościeżnicy."))</f>
        <v/>
      </c>
      <c r="I7" s="7" t="str">
        <f>G7</f>
        <v>Tak</v>
      </c>
    </row>
    <row r="8" spans="1:9" ht="45" x14ac:dyDescent="0.25">
      <c r="A8" s="1" t="s">
        <v>45</v>
      </c>
      <c r="B8" s="1" t="s">
        <v>50</v>
      </c>
      <c r="C8" s="1" t="s">
        <v>56</v>
      </c>
      <c r="D8" s="125" t="s">
        <v>391</v>
      </c>
      <c r="E8" s="132">
        <v>4</v>
      </c>
      <c r="F8" s="105" t="s">
        <v>537</v>
      </c>
      <c r="G8" s="127" t="str">
        <f>IF(ISBLANK(E8),"",IF(E8&lt;=2,"Tak","Nie"))</f>
        <v>Nie</v>
      </c>
      <c r="H8" s="1" t="str">
        <f>IF(ISBLANK(E8),"",IF(G8="Tak","","Należy usunąć całkowicie lub obniżyć próg do wysokości nie większej niż 2 cm."))</f>
        <v>Należy usunąć całkowicie lub obniżyć próg do wysokości nie większej niż 2 cm.</v>
      </c>
      <c r="I8" s="13" t="str">
        <f>IF(ISBLANK(E8),"",IF(E8&lt;=0.5,"Tak","Nie"))</f>
        <v>Nie</v>
      </c>
    </row>
    <row r="9" spans="1:9" ht="255" x14ac:dyDescent="0.25">
      <c r="A9" s="5" t="s">
        <v>46</v>
      </c>
      <c r="B9" s="5" t="s">
        <v>51</v>
      </c>
      <c r="C9" s="5" t="s">
        <v>55</v>
      </c>
      <c r="D9" s="107" t="s">
        <v>393</v>
      </c>
      <c r="E9" s="200" t="s">
        <v>125</v>
      </c>
      <c r="F9" s="176"/>
      <c r="G9" s="111" t="str">
        <f>IF(ISBLANK(E9),"",E9)</f>
        <v>Nie</v>
      </c>
      <c r="H9" s="5" t="str">
        <f>IF(ISBLANK(E9),"",IF(E9="tak","",IF(E9="nie","Należy oznaczyć drzwi dwoma pasami kontrastowymi umieszczonymi na wysokości około 100 i 140 cm",E9)))</f>
        <v>Należy oznaczyć drzwi dwoma pasami kontrastowymi umieszczonymi na wysokości około 100 i 140 cm</v>
      </c>
      <c r="I9" s="7" t="str">
        <f>G9</f>
        <v>Nie</v>
      </c>
    </row>
    <row r="10" spans="1:9" ht="112.9" customHeight="1" x14ac:dyDescent="0.25">
      <c r="A10" s="1" t="s">
        <v>300</v>
      </c>
      <c r="B10" s="1"/>
      <c r="C10" s="1" t="s">
        <v>301</v>
      </c>
      <c r="D10" s="124" t="s">
        <v>394</v>
      </c>
      <c r="E10" s="130" t="s">
        <v>124</v>
      </c>
      <c r="F10" s="105"/>
      <c r="G10" s="127" t="s">
        <v>145</v>
      </c>
      <c r="H10" s="1"/>
      <c r="I10" s="13" t="str">
        <f>IF(ISBLANK(E10),"",IF(E10="tak","Nie",IF(E10="Nie","Tak",E10)))</f>
        <v>Nie</v>
      </c>
    </row>
    <row r="11" spans="1:9" ht="150" x14ac:dyDescent="0.25">
      <c r="A11" s="5" t="s">
        <v>47</v>
      </c>
      <c r="B11" s="5"/>
      <c r="C11" s="5" t="s">
        <v>52</v>
      </c>
      <c r="D11" s="107" t="s">
        <v>395</v>
      </c>
      <c r="E11" s="200" t="s">
        <v>124</v>
      </c>
      <c r="F11" s="176"/>
      <c r="G11" s="111" t="s">
        <v>145</v>
      </c>
      <c r="H11" s="5"/>
      <c r="I11" s="7" t="str">
        <f>IF(ISBLANK(E11),"",E11)</f>
        <v>Tak</v>
      </c>
    </row>
    <row r="12" spans="1:9" ht="210.75" thickBot="1" x14ac:dyDescent="0.3">
      <c r="A12" s="1" t="s">
        <v>48</v>
      </c>
      <c r="B12" s="1" t="s">
        <v>53</v>
      </c>
      <c r="C12" s="1" t="s">
        <v>53</v>
      </c>
      <c r="D12" s="124" t="s">
        <v>396</v>
      </c>
      <c r="E12" s="159" t="s">
        <v>536</v>
      </c>
      <c r="F12" s="145"/>
      <c r="G12" s="127" t="str">
        <f>IF(ISBLANK(E12),"",IF(E12="nie dotyczy",E12,IF(OR(VALUE(RIGHT(E12,RIGHT(LEN(E12)-FIND("/",E12))))&lt;150,VALUE(LEFT(E12,FIND("/",E12)-1))&lt;150),"Nie","Tak")))</f>
        <v>Nie</v>
      </c>
      <c r="H12" s="1" t="str">
        <f>IF(ISBLANK(E12),"",IF(OR(G12="tak",G12="nie dotyczy"),"","Niewystarczająca powierzchnia manewrowa w wiatrołapie. Należy zapewnić powierzchnię o wymiarach minimum 150x150 cm."))</f>
        <v>Niewystarczająca powierzchnia manewrowa w wiatrołapie. Należy zapewnić powierzchnię o wymiarach minimum 150x150 cm.</v>
      </c>
      <c r="I12" s="13" t="str">
        <f>G12</f>
        <v>Nie</v>
      </c>
    </row>
  </sheetData>
  <sheetProtection sheet="1" objects="1" scenarios="1"/>
  <protectedRanges>
    <protectedRange sqref="E4:F12" name="Rozstęp1"/>
  </protectedRanges>
  <mergeCells count="3">
    <mergeCell ref="B1:I1"/>
    <mergeCell ref="A2:D2"/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0000000}">
          <x14:formula1>
            <xm:f>'Dane do list rozwijanych'!$A$2:$A$4</xm:f>
          </x14:formula1>
          <xm:sqref>E5 E7 E9:E11</xm:sqref>
        </x14:dataValidation>
        <x14:dataValidation type="list" allowBlank="1" showInputMessage="1" showErrorMessage="1" xr:uid="{00000000-0002-0000-0500-000001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B8C1F-B854-45E9-A246-388CAE63F757}">
  <dimension ref="A1:I6"/>
  <sheetViews>
    <sheetView topLeftCell="A2" zoomScale="93" zoomScaleNormal="93" workbookViewId="0">
      <selection activeCell="E2" sqref="E2:I2"/>
    </sheetView>
  </sheetViews>
  <sheetFormatPr defaultColWidth="8.85546875" defaultRowHeight="15" x14ac:dyDescent="0.25"/>
  <cols>
    <col min="1" max="1" width="27" style="11" customWidth="1"/>
    <col min="2" max="2" width="43" style="11" customWidth="1"/>
    <col min="3" max="4" width="28.7109375" style="11" customWidth="1"/>
    <col min="5" max="5" width="16.28515625" style="11" customWidth="1"/>
    <col min="6" max="6" width="10.7109375" style="11" customWidth="1"/>
    <col min="7" max="7" width="8.85546875" style="12"/>
    <col min="8" max="8" width="10.710937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108" customHeight="1" x14ac:dyDescent="0.25">
      <c r="A4" s="231" t="s">
        <v>57</v>
      </c>
      <c r="B4" s="231" t="s">
        <v>218</v>
      </c>
      <c r="C4" s="231" t="s">
        <v>218</v>
      </c>
      <c r="D4" s="237" t="s">
        <v>397</v>
      </c>
      <c r="E4" s="128" t="s">
        <v>125</v>
      </c>
      <c r="F4" s="129"/>
      <c r="G4" s="126" t="str">
        <f>IF(ISBLANK(E4),"",E4)</f>
        <v>Nie</v>
      </c>
      <c r="H4" s="231" t="str">
        <f>IF(G4="tak","",IF(G4="nie","Należy zapewnić szerokość ciągów komunikacyjnych zgodną z przepisami",""))</f>
        <v>Należy zapewnić szerokość ciągów komunikacyjnych zgodną z przepisami</v>
      </c>
      <c r="I4" s="13" t="str">
        <f>G4</f>
        <v>Nie</v>
      </c>
    </row>
    <row r="5" spans="1:9" ht="165" x14ac:dyDescent="0.25">
      <c r="A5" s="233" t="s">
        <v>168</v>
      </c>
      <c r="B5" s="233" t="s">
        <v>58</v>
      </c>
      <c r="C5" s="233" t="s">
        <v>58</v>
      </c>
      <c r="D5" s="94" t="s">
        <v>398</v>
      </c>
      <c r="E5" s="172" t="s">
        <v>567</v>
      </c>
      <c r="F5" s="176"/>
      <c r="G5" s="158"/>
      <c r="H5" s="18"/>
      <c r="I5" s="17"/>
    </row>
    <row r="6" spans="1:9" ht="165.75" thickBot="1" x14ac:dyDescent="0.3">
      <c r="A6" s="232" t="s">
        <v>169</v>
      </c>
      <c r="B6" s="232" t="s">
        <v>59</v>
      </c>
      <c r="C6" s="232" t="s">
        <v>59</v>
      </c>
      <c r="D6" s="94" t="s">
        <v>399</v>
      </c>
      <c r="E6" s="144" t="s">
        <v>541</v>
      </c>
      <c r="F6" s="145"/>
      <c r="G6" s="158"/>
      <c r="H6" s="18"/>
      <c r="I6" s="17"/>
    </row>
  </sheetData>
  <sheetProtection sheet="1" objects="1" scenarios="1"/>
  <protectedRanges>
    <protectedRange sqref="E4:F6" name="Rozstęp1"/>
  </protectedRanges>
  <mergeCells count="3">
    <mergeCell ref="B1:I1"/>
    <mergeCell ref="A2:D2"/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D5C41C-AF94-4537-9B03-717A280F3CD5}">
          <x14:formula1>
            <xm:f>'Dane do list rozwijanych'!$A$8:$A$9</xm:f>
          </x14:formula1>
          <xm:sqref>E4 E2:I2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522A8-7973-4987-B6A2-410A96BC815E}">
  <dimension ref="A1:I6"/>
  <sheetViews>
    <sheetView topLeftCell="A5" zoomScale="93" zoomScaleNormal="93" workbookViewId="0">
      <selection activeCell="E5" sqref="E5"/>
    </sheetView>
  </sheetViews>
  <sheetFormatPr defaultColWidth="8.85546875" defaultRowHeight="15" x14ac:dyDescent="0.25"/>
  <cols>
    <col min="1" max="1" width="27" style="11" customWidth="1"/>
    <col min="2" max="2" width="43" style="11" customWidth="1"/>
    <col min="3" max="4" width="28.7109375" style="11" customWidth="1"/>
    <col min="5" max="5" width="16.28515625" style="11" customWidth="1"/>
    <col min="6" max="6" width="10.7109375" style="11" customWidth="1"/>
    <col min="7" max="7" width="8.85546875" style="12"/>
    <col min="8" max="8" width="10.710937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108" customHeight="1" x14ac:dyDescent="0.25">
      <c r="A4" s="231" t="s">
        <v>57</v>
      </c>
      <c r="B4" s="231" t="s">
        <v>218</v>
      </c>
      <c r="C4" s="231" t="s">
        <v>218</v>
      </c>
      <c r="D4" s="237" t="s">
        <v>397</v>
      </c>
      <c r="E4" s="128" t="s">
        <v>124</v>
      </c>
      <c r="F4" s="129" t="s">
        <v>572</v>
      </c>
      <c r="G4" s="126" t="str">
        <f>IF(ISBLANK(E4),"",E4)</f>
        <v>Tak</v>
      </c>
      <c r="H4" s="231" t="str">
        <f>IF(G4="tak","",IF(G4="nie","Należy zapewnić szerokość ciągów komunikacyjnych zgodną z przepisami",""))</f>
        <v/>
      </c>
      <c r="I4" s="13" t="str">
        <f>G4</f>
        <v>Tak</v>
      </c>
    </row>
    <row r="5" spans="1:9" ht="165" x14ac:dyDescent="0.25">
      <c r="A5" s="233" t="s">
        <v>168</v>
      </c>
      <c r="B5" s="233" t="s">
        <v>58</v>
      </c>
      <c r="C5" s="233" t="s">
        <v>58</v>
      </c>
      <c r="D5" s="94" t="s">
        <v>398</v>
      </c>
      <c r="E5" s="172" t="s">
        <v>573</v>
      </c>
      <c r="F5" s="176" t="s">
        <v>571</v>
      </c>
      <c r="G5" s="158"/>
      <c r="H5" s="18"/>
      <c r="I5" s="17"/>
    </row>
    <row r="6" spans="1:9" ht="165.75" thickBot="1" x14ac:dyDescent="0.3">
      <c r="A6" s="232" t="s">
        <v>169</v>
      </c>
      <c r="B6" s="232" t="s">
        <v>59</v>
      </c>
      <c r="C6" s="232" t="s">
        <v>59</v>
      </c>
      <c r="D6" s="94" t="s">
        <v>399</v>
      </c>
      <c r="E6" s="144" t="s">
        <v>541</v>
      </c>
      <c r="F6" s="145"/>
      <c r="G6" s="158"/>
      <c r="H6" s="18"/>
      <c r="I6" s="17"/>
    </row>
  </sheetData>
  <sheetProtection sheet="1" objects="1" scenarios="1"/>
  <protectedRanges>
    <protectedRange sqref="E4:F6" name="Rozstęp1"/>
  </protectedRanges>
  <mergeCells count="3">
    <mergeCell ref="B1:I1"/>
    <mergeCell ref="A2:D2"/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CEA225-268D-44BC-9100-D4889C4FF15F}">
          <x14:formula1>
            <xm:f>'Dane do list rozwijanych'!$A$8:$A$9</xm:f>
          </x14:formula1>
          <xm:sqref>E4 E2:I2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2DC22-7A65-4F8B-932F-2DB462FCD4E8}">
  <dimension ref="A1:I6"/>
  <sheetViews>
    <sheetView zoomScale="93" zoomScaleNormal="93" workbookViewId="0">
      <selection activeCell="E5" sqref="E5"/>
    </sheetView>
  </sheetViews>
  <sheetFormatPr defaultColWidth="8.85546875" defaultRowHeight="15" x14ac:dyDescent="0.25"/>
  <cols>
    <col min="1" max="1" width="27" style="11" customWidth="1"/>
    <col min="2" max="2" width="43" style="11" customWidth="1"/>
    <col min="3" max="4" width="28.7109375" style="11" customWidth="1"/>
    <col min="5" max="5" width="16.28515625" style="11" customWidth="1"/>
    <col min="6" max="6" width="10.7109375" style="11" customWidth="1"/>
    <col min="7" max="7" width="8.85546875" style="12"/>
    <col min="8" max="8" width="10.710937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108" customHeight="1" x14ac:dyDescent="0.25">
      <c r="A4" s="231" t="s">
        <v>57</v>
      </c>
      <c r="B4" s="231" t="s">
        <v>218</v>
      </c>
      <c r="C4" s="231" t="s">
        <v>218</v>
      </c>
      <c r="D4" s="237" t="s">
        <v>397</v>
      </c>
      <c r="E4" s="128" t="s">
        <v>124</v>
      </c>
      <c r="F4" s="129" t="s">
        <v>538</v>
      </c>
      <c r="G4" s="126" t="str">
        <f>IF(ISBLANK(E4),"",E4)</f>
        <v>Tak</v>
      </c>
      <c r="H4" s="231" t="str">
        <f>IF(G4="tak","",IF(G4="nie","Należy zapewnić szerokość ciągów komunikacyjnych zgodną z przepisami",""))</f>
        <v/>
      </c>
      <c r="I4" s="13" t="str">
        <f>G4</f>
        <v>Tak</v>
      </c>
    </row>
    <row r="5" spans="1:9" ht="165" x14ac:dyDescent="0.25">
      <c r="A5" s="233" t="s">
        <v>168</v>
      </c>
      <c r="B5" s="233" t="s">
        <v>58</v>
      </c>
      <c r="C5" s="233" t="s">
        <v>58</v>
      </c>
      <c r="D5" s="94" t="s">
        <v>398</v>
      </c>
      <c r="E5" s="172" t="s">
        <v>570</v>
      </c>
      <c r="F5" s="176"/>
      <c r="G5" s="158"/>
      <c r="H5" s="18"/>
      <c r="I5" s="17"/>
    </row>
    <row r="6" spans="1:9" ht="165.75" thickBot="1" x14ac:dyDescent="0.3">
      <c r="A6" s="232" t="s">
        <v>169</v>
      </c>
      <c r="B6" s="232" t="s">
        <v>59</v>
      </c>
      <c r="C6" s="232" t="s">
        <v>59</v>
      </c>
      <c r="D6" s="94" t="s">
        <v>399</v>
      </c>
      <c r="E6" s="144" t="s">
        <v>541</v>
      </c>
      <c r="F6" s="145"/>
      <c r="G6" s="158"/>
      <c r="H6" s="18"/>
      <c r="I6" s="17"/>
    </row>
  </sheetData>
  <sheetProtection sheet="1" objects="1" scenarios="1"/>
  <protectedRanges>
    <protectedRange sqref="E4:F6" name="Rozstęp1"/>
  </protectedRanges>
  <mergeCells count="3">
    <mergeCell ref="B1:I1"/>
    <mergeCell ref="A2:D2"/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2DCED8-9A6D-4D72-9552-977F48B08B5D}">
          <x14:formula1>
            <xm:f>'Dane do list rozwijanych'!$A$8:$A$9</xm:f>
          </x14:formula1>
          <xm:sqref>E4 E2:I2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71853-B8F6-4FFD-B721-2C7E785E181C}">
  <dimension ref="A1:J14"/>
  <sheetViews>
    <sheetView topLeftCell="A12" zoomScale="85" zoomScaleNormal="85" workbookViewId="0">
      <selection activeCell="E15" sqref="E15"/>
    </sheetView>
  </sheetViews>
  <sheetFormatPr defaultColWidth="8.85546875" defaultRowHeight="15" x14ac:dyDescent="0.25"/>
  <cols>
    <col min="1" max="1" width="15.7109375" style="11" customWidth="1"/>
    <col min="2" max="2" width="13" style="11" customWidth="1"/>
    <col min="3" max="3" width="15" style="11" customWidth="1"/>
    <col min="4" max="4" width="26.5703125" style="11" customWidth="1"/>
    <col min="5" max="5" width="12.42578125" style="11" customWidth="1"/>
    <col min="6" max="6" width="10.85546875" style="11" customWidth="1"/>
    <col min="7" max="7" width="8.7109375" style="11" customWidth="1"/>
    <col min="8" max="8" width="37.85546875" style="11" customWidth="1"/>
    <col min="9" max="9" width="11.42578125" style="11" customWidth="1"/>
    <col min="10" max="10" width="13" style="11" customWidth="1"/>
    <col min="11" max="16384" width="8.85546875" style="11"/>
  </cols>
  <sheetData>
    <row r="1" spans="1:10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10" ht="18" customHeight="1" thickBot="1" x14ac:dyDescent="0.3">
      <c r="A2" s="248" t="s">
        <v>343</v>
      </c>
      <c r="B2" s="248"/>
      <c r="C2" s="248"/>
      <c r="D2" s="248"/>
      <c r="E2" s="249" t="s">
        <v>125</v>
      </c>
      <c r="F2" s="249"/>
      <c r="G2" s="250"/>
      <c r="H2" s="250"/>
      <c r="I2" s="250"/>
    </row>
    <row r="3" spans="1:10" ht="60" x14ac:dyDescent="0.25">
      <c r="A3" s="2" t="s">
        <v>0</v>
      </c>
      <c r="B3" s="2" t="s">
        <v>140</v>
      </c>
      <c r="C3" s="2" t="s">
        <v>1</v>
      </c>
      <c r="D3" s="92" t="s">
        <v>344</v>
      </c>
      <c r="E3" s="99" t="s">
        <v>106</v>
      </c>
      <c r="F3" s="100" t="s">
        <v>126</v>
      </c>
      <c r="G3" s="97" t="s">
        <v>96</v>
      </c>
      <c r="H3" s="2" t="s">
        <v>95</v>
      </c>
      <c r="I3" s="2" t="s">
        <v>97</v>
      </c>
    </row>
    <row r="4" spans="1:10" ht="90" x14ac:dyDescent="0.25">
      <c r="A4" s="241" t="s">
        <v>2</v>
      </c>
      <c r="B4" s="228" t="s">
        <v>155</v>
      </c>
      <c r="C4" s="228" t="s">
        <v>156</v>
      </c>
      <c r="D4" s="93" t="s">
        <v>520</v>
      </c>
      <c r="E4" s="200">
        <v>98</v>
      </c>
      <c r="F4" s="213"/>
      <c r="G4" s="229" t="str">
        <f>IF(ISBLANK(E4),"",IF(ISTEXT(E4),"Nie dotyczy",IF(E4&gt;89,"Tak","Nie")))</f>
        <v>Tak</v>
      </c>
      <c r="H4" s="238" t="str">
        <f>IF(G4="Nie","Niewystarczająca szerokość furtki. Należy poszerzyć furtkę.","")</f>
        <v/>
      </c>
      <c r="I4" s="230" t="str">
        <f>IF(ISBLANK(E4),"",IF(AND(E4&gt;89,E4&lt;111),"Tak",IF(ISTEXT(E4),"Nie dotyczy","Nie")))</f>
        <v>Tak</v>
      </c>
    </row>
    <row r="5" spans="1:10" ht="75" x14ac:dyDescent="0.25">
      <c r="A5" s="242"/>
      <c r="B5" s="228" t="s">
        <v>292</v>
      </c>
      <c r="C5" s="228"/>
      <c r="D5" s="93" t="s">
        <v>335</v>
      </c>
      <c r="E5" s="101" t="s">
        <v>525</v>
      </c>
      <c r="F5" s="102"/>
      <c r="G5" s="229" t="str">
        <f>IF(ISBLANK(E5),"",E5)</f>
        <v>tak</v>
      </c>
      <c r="H5" s="4" t="str">
        <f>IF(E5="nie","Furtka nie może otwierać się na zewnątrz działki.","")</f>
        <v/>
      </c>
      <c r="I5" s="4" t="s">
        <v>145</v>
      </c>
    </row>
    <row r="6" spans="1:10" ht="90" x14ac:dyDescent="0.25">
      <c r="A6" s="242"/>
      <c r="B6" s="228"/>
      <c r="C6" s="228" t="s">
        <v>293</v>
      </c>
      <c r="D6" s="93" t="s">
        <v>334</v>
      </c>
      <c r="E6" s="148" t="s">
        <v>125</v>
      </c>
      <c r="F6" s="118"/>
      <c r="G6" s="229" t="s">
        <v>145</v>
      </c>
      <c r="H6" s="238"/>
      <c r="I6" s="4" t="str">
        <f>IF(ISBLANK(E6),"",E6)</f>
        <v>Nie</v>
      </c>
    </row>
    <row r="7" spans="1:10" ht="109.15" customHeight="1" x14ac:dyDescent="0.25">
      <c r="A7" s="243"/>
      <c r="B7" s="228" t="s">
        <v>153</v>
      </c>
      <c r="C7" s="228" t="s">
        <v>154</v>
      </c>
      <c r="D7" s="93" t="s">
        <v>336</v>
      </c>
      <c r="E7" s="101" t="s">
        <v>125</v>
      </c>
      <c r="F7" s="102"/>
      <c r="G7" s="229" t="str">
        <f>IF(ISBLANK(E7),"",IF(E7="Tak","Nie",IF(E7="Nie","Tak",IF(E7="Nie dotyczy","Nie dotyczy"))))</f>
        <v>Tak</v>
      </c>
      <c r="H7" s="238" t="str">
        <f>IF(E7="tak","Furtka nie może utrudniać dostępu użytkownikom wózków. Należy przebudować/naprawić/wymienić furtkę","")</f>
        <v/>
      </c>
      <c r="I7" s="4" t="str">
        <f>IF(ISBLANK(E7),"",G7)</f>
        <v>Tak</v>
      </c>
    </row>
    <row r="8" spans="1:10" ht="75" x14ac:dyDescent="0.25">
      <c r="A8" s="233" t="s">
        <v>5</v>
      </c>
      <c r="B8" s="233" t="s">
        <v>3</v>
      </c>
      <c r="C8" s="233" t="s">
        <v>3</v>
      </c>
      <c r="D8" s="94" t="s">
        <v>337</v>
      </c>
      <c r="E8" s="172" t="s">
        <v>125</v>
      </c>
      <c r="F8" s="176"/>
      <c r="G8" s="98" t="str">
        <f>IF(ISBLANK(E8),"",E8)</f>
        <v>Nie</v>
      </c>
      <c r="H8" s="233" t="str">
        <f>IF(E8="nie","Należy zapewnić utwardzone dojście o szerokości minimum 150 cm","")</f>
        <v>Należy zapewnić utwardzone dojście o szerokości minimum 150 cm</v>
      </c>
      <c r="I8" s="79" t="str">
        <f>IF(ISBLANK(E8),"",E8)</f>
        <v>Nie</v>
      </c>
    </row>
    <row r="9" spans="1:10" ht="64.900000000000006" customHeight="1" x14ac:dyDescent="0.25">
      <c r="A9" s="241" t="s">
        <v>4</v>
      </c>
      <c r="B9" s="238" t="s">
        <v>98</v>
      </c>
      <c r="C9" s="238" t="s">
        <v>98</v>
      </c>
      <c r="D9" s="239" t="s">
        <v>350</v>
      </c>
      <c r="E9" s="103" t="s">
        <v>125</v>
      </c>
      <c r="F9" s="104"/>
      <c r="G9" s="229" t="str">
        <f>IF(ISBLANK(E9),"",E9)</f>
        <v>Nie</v>
      </c>
      <c r="H9" s="238" t="str">
        <f>IF(E9="nie","Należy zapewnić właściwe nachylenie podłużne dojścia do obiektu","")</f>
        <v>Należy zapewnić właściwe nachylenie podłużne dojścia do obiektu</v>
      </c>
      <c r="I9" s="4" t="str">
        <f>IF(ISBLANK(E9),"",E9)</f>
        <v>Nie</v>
      </c>
    </row>
    <row r="10" spans="1:10" ht="60" x14ac:dyDescent="0.25">
      <c r="A10" s="242"/>
      <c r="B10" s="238" t="s">
        <v>99</v>
      </c>
      <c r="C10" s="238" t="s">
        <v>141</v>
      </c>
      <c r="D10" s="239" t="s">
        <v>338</v>
      </c>
      <c r="E10" s="103" t="s">
        <v>124</v>
      </c>
      <c r="F10" s="104"/>
      <c r="G10" s="229" t="str">
        <f>IF(ISBLANK(E10),"",E10)</f>
        <v>Tak</v>
      </c>
      <c r="H10" s="238" t="str">
        <f>IF(E10="nie","Należy zapewnić właściwe nachylenie poprzeczne dojścia do obiektu","")</f>
        <v/>
      </c>
      <c r="I10" s="4" t="str">
        <f>IF(ISBLANK(E10),"",E10)</f>
        <v>Tak</v>
      </c>
    </row>
    <row r="11" spans="1:10" ht="105" x14ac:dyDescent="0.25">
      <c r="A11" s="243"/>
      <c r="B11" s="232" t="s">
        <v>100</v>
      </c>
      <c r="D11" s="11" t="s">
        <v>339</v>
      </c>
      <c r="E11" s="103" t="s">
        <v>145</v>
      </c>
      <c r="F11" s="105"/>
      <c r="G11" s="229" t="str">
        <f>IF(ISBLANK(E11),"",E11)</f>
        <v>Nie dotyczy</v>
      </c>
      <c r="H11" s="238" t="str">
        <f>IF(AND(E9="nie",E11="nie"),"Należy przebudować dojście tak, by spełniało wymagania w zakresie przepisów dla chodników lub pochylni","")</f>
        <v/>
      </c>
      <c r="I11" s="4" t="s">
        <v>145</v>
      </c>
      <c r="J11" s="56"/>
    </row>
    <row r="12" spans="1:10" ht="201.6" customHeight="1" x14ac:dyDescent="0.25">
      <c r="A12" s="244" t="s">
        <v>6</v>
      </c>
      <c r="B12" s="233" t="s">
        <v>101</v>
      </c>
      <c r="C12" s="233" t="s">
        <v>102</v>
      </c>
      <c r="D12" s="251" t="s">
        <v>340</v>
      </c>
      <c r="E12" s="172" t="s">
        <v>124</v>
      </c>
      <c r="F12" s="176"/>
      <c r="G12" s="98" t="str">
        <f>IF(ISBLANK(E12),"",E12)</f>
        <v>Tak</v>
      </c>
      <c r="H12" s="233" t="str">
        <f>IF(E12="nie","Należy zapewnić właściwe natężenie i barwę oświetlenia sztucznego.","")</f>
        <v/>
      </c>
      <c r="I12" s="79" t="str">
        <f>IF(ISBLANK(E12),"",E12)</f>
        <v>Tak</v>
      </c>
    </row>
    <row r="13" spans="1:10" ht="180" x14ac:dyDescent="0.25">
      <c r="A13" s="245"/>
      <c r="B13" s="233"/>
      <c r="C13" s="233" t="s">
        <v>103</v>
      </c>
      <c r="D13" s="252"/>
      <c r="E13" s="172" t="s">
        <v>124</v>
      </c>
      <c r="F13" s="199"/>
      <c r="G13" s="98" t="s">
        <v>145</v>
      </c>
      <c r="H13" s="233"/>
      <c r="I13" s="79" t="str">
        <f>IF(ISBLANK(E13),"",E13)</f>
        <v>Tak</v>
      </c>
    </row>
    <row r="14" spans="1:10" ht="105.75" thickBot="1" x14ac:dyDescent="0.3">
      <c r="A14" s="246"/>
      <c r="B14" s="233"/>
      <c r="C14" s="233" t="s">
        <v>104</v>
      </c>
      <c r="D14" s="253"/>
      <c r="E14" s="174" t="s">
        <v>124</v>
      </c>
      <c r="F14" s="175"/>
      <c r="G14" s="98" t="s">
        <v>145</v>
      </c>
      <c r="H14" s="233"/>
      <c r="I14" s="79" t="str">
        <f>IF(ISBLANK(E14),"",E14)</f>
        <v>Tak</v>
      </c>
    </row>
  </sheetData>
  <sheetProtection sheet="1" formatCells="0" formatColumns="0" formatRows="0" insertColumns="0" insertRows="0" insertHyperlinks="0" deleteColumns="0" deleteRows="0"/>
  <protectedRanges>
    <protectedRange sqref="E4:F14" name="dojscie"/>
  </protectedRanges>
  <mergeCells count="7">
    <mergeCell ref="A12:A14"/>
    <mergeCell ref="D12:D14"/>
    <mergeCell ref="B1:I1"/>
    <mergeCell ref="A2:D2"/>
    <mergeCell ref="E2:I2"/>
    <mergeCell ref="A4:A7"/>
    <mergeCell ref="A9:A11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EE694A7-97CF-41E3-842B-130F59EF705D}">
          <x14:formula1>
            <xm:f>'Dane do list rozwijanych'!$A$8:$A$9</xm:f>
          </x14:formula1>
          <xm:sqref>E2:I2</xm:sqref>
        </x14:dataValidation>
        <x14:dataValidation type="list" allowBlank="1" showInputMessage="1" showErrorMessage="1" xr:uid="{3F6D0868-6157-467A-99AC-D2EC6F9388C7}">
          <x14:formula1>
            <xm:f>'Dane do list rozwijanych'!$A$2:$A$4</xm:f>
          </x14:formula1>
          <xm:sqref>E5:E14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D4F1C-0230-43FF-A41E-14A167B67AA4}">
  <dimension ref="A1:I6"/>
  <sheetViews>
    <sheetView topLeftCell="A4" zoomScale="93" zoomScaleNormal="93" workbookViewId="0">
      <selection activeCell="E5" sqref="E5"/>
    </sheetView>
  </sheetViews>
  <sheetFormatPr defaultColWidth="8.85546875" defaultRowHeight="15" x14ac:dyDescent="0.25"/>
  <cols>
    <col min="1" max="1" width="27" style="11" customWidth="1"/>
    <col min="2" max="2" width="43" style="11" customWidth="1"/>
    <col min="3" max="4" width="28.7109375" style="11" customWidth="1"/>
    <col min="5" max="5" width="16.28515625" style="11" customWidth="1"/>
    <col min="6" max="6" width="10.7109375" style="11" customWidth="1"/>
    <col min="7" max="7" width="8.85546875" style="12"/>
    <col min="8" max="8" width="10.710937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108" customHeight="1" x14ac:dyDescent="0.25">
      <c r="A4" s="231" t="s">
        <v>57</v>
      </c>
      <c r="B4" s="231" t="s">
        <v>218</v>
      </c>
      <c r="C4" s="231" t="s">
        <v>218</v>
      </c>
      <c r="D4" s="237" t="s">
        <v>397</v>
      </c>
      <c r="E4" s="128" t="s">
        <v>124</v>
      </c>
      <c r="F4" s="129" t="s">
        <v>538</v>
      </c>
      <c r="G4" s="126" t="str">
        <f>IF(ISBLANK(E4),"",E4)</f>
        <v>Tak</v>
      </c>
      <c r="H4" s="231" t="str">
        <f>IF(G4="tak","",IF(G4="nie","Należy zapewnić szerokość ciągów komunikacyjnych zgodną z przepisami",""))</f>
        <v/>
      </c>
      <c r="I4" s="13" t="str">
        <f>G4</f>
        <v>Tak</v>
      </c>
    </row>
    <row r="5" spans="1:9" ht="165" x14ac:dyDescent="0.25">
      <c r="A5" s="233" t="s">
        <v>168</v>
      </c>
      <c r="B5" s="233" t="s">
        <v>58</v>
      </c>
      <c r="C5" s="233" t="s">
        <v>58</v>
      </c>
      <c r="D5" s="94" t="s">
        <v>398</v>
      </c>
      <c r="E5" s="172" t="s">
        <v>569</v>
      </c>
      <c r="F5" s="176"/>
      <c r="G5" s="158"/>
      <c r="H5" s="18"/>
      <c r="I5" s="17"/>
    </row>
    <row r="6" spans="1:9" ht="165.75" thickBot="1" x14ac:dyDescent="0.3">
      <c r="A6" s="232" t="s">
        <v>169</v>
      </c>
      <c r="B6" s="232" t="s">
        <v>59</v>
      </c>
      <c r="C6" s="232" t="s">
        <v>59</v>
      </c>
      <c r="D6" s="94" t="s">
        <v>399</v>
      </c>
      <c r="E6" s="144" t="s">
        <v>541</v>
      </c>
      <c r="F6" s="145"/>
      <c r="G6" s="158"/>
      <c r="H6" s="18"/>
      <c r="I6" s="17"/>
    </row>
  </sheetData>
  <sheetProtection sheet="1" objects="1" scenarios="1"/>
  <protectedRanges>
    <protectedRange sqref="E4:F6" name="Rozstęp1"/>
  </protectedRanges>
  <mergeCells count="3">
    <mergeCell ref="B1:I1"/>
    <mergeCell ref="A2:D2"/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7191D3-4EC3-4FBA-BA14-F50F9B6B602A}">
          <x14:formula1>
            <xm:f>'Dane do list rozwijanych'!$A$8:$A$9</xm:f>
          </x14:formula1>
          <xm:sqref>E4 E2:I2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6"/>
  <sheetViews>
    <sheetView zoomScale="93" zoomScaleNormal="93" workbookViewId="0">
      <selection activeCell="E6" sqref="E6"/>
    </sheetView>
  </sheetViews>
  <sheetFormatPr defaultColWidth="8.85546875" defaultRowHeight="15" x14ac:dyDescent="0.25"/>
  <cols>
    <col min="1" max="1" width="27" style="11" customWidth="1"/>
    <col min="2" max="2" width="43" style="11" customWidth="1"/>
    <col min="3" max="4" width="28.7109375" style="11" customWidth="1"/>
    <col min="5" max="5" width="16.28515625" style="11" customWidth="1"/>
    <col min="6" max="6" width="10.7109375" style="11" customWidth="1"/>
    <col min="7" max="7" width="8.85546875" style="12"/>
    <col min="8" max="8" width="10.710937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108" customHeight="1" x14ac:dyDescent="0.25">
      <c r="A4" s="10" t="s">
        <v>57</v>
      </c>
      <c r="B4" s="10" t="s">
        <v>218</v>
      </c>
      <c r="C4" s="10" t="s">
        <v>218</v>
      </c>
      <c r="D4" s="124" t="s">
        <v>397</v>
      </c>
      <c r="E4" s="128" t="s">
        <v>124</v>
      </c>
      <c r="F4" s="129" t="s">
        <v>538</v>
      </c>
      <c r="G4" s="126" t="str">
        <f>IF(ISBLANK(E4),"",E4)</f>
        <v>Tak</v>
      </c>
      <c r="H4" s="10" t="str">
        <f>IF(G4="tak","",IF(G4="nie","Należy zapewnić szerokość ciągów komunikacyjnych zgodną z przepisami",""))</f>
        <v/>
      </c>
      <c r="I4" s="13" t="str">
        <f>G4</f>
        <v>Tak</v>
      </c>
    </row>
    <row r="5" spans="1:9" ht="165" x14ac:dyDescent="0.25">
      <c r="A5" s="5" t="s">
        <v>168</v>
      </c>
      <c r="B5" s="5" t="s">
        <v>58</v>
      </c>
      <c r="C5" s="5" t="s">
        <v>58</v>
      </c>
      <c r="D5" s="94" t="s">
        <v>398</v>
      </c>
      <c r="E5" s="172" t="s">
        <v>540</v>
      </c>
      <c r="F5" s="176"/>
      <c r="G5" s="158"/>
      <c r="H5" s="18"/>
      <c r="I5" s="17"/>
    </row>
    <row r="6" spans="1:9" ht="165.75" thickBot="1" x14ac:dyDescent="0.3">
      <c r="A6" s="1" t="s">
        <v>169</v>
      </c>
      <c r="B6" s="1" t="s">
        <v>59</v>
      </c>
      <c r="C6" s="1" t="s">
        <v>59</v>
      </c>
      <c r="D6" s="94" t="s">
        <v>399</v>
      </c>
      <c r="E6" s="144" t="s">
        <v>541</v>
      </c>
      <c r="F6" s="145"/>
      <c r="G6" s="158"/>
      <c r="H6" s="18"/>
      <c r="I6" s="17"/>
    </row>
  </sheetData>
  <sheetProtection sheet="1" objects="1" scenarios="1"/>
  <protectedRanges>
    <protectedRange sqref="E4:F6" name="Rozstęp1"/>
  </protectedRanges>
  <mergeCells count="3">
    <mergeCell ref="B1:I1"/>
    <mergeCell ref="A2:D2"/>
    <mergeCell ref="E2:I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600-000000000000}">
          <x14:formula1>
            <xm:f>'Dane do list rozwijanych'!$A$8:$A$9</xm:f>
          </x14:formula1>
          <xm:sqref>E4 E2:I2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D91B4-EB52-442C-9190-C1B354296CB9}">
  <dimension ref="A1:I13"/>
  <sheetViews>
    <sheetView zoomScale="87" zoomScaleNormal="87" workbookViewId="0">
      <selection activeCell="E13" sqref="E13"/>
    </sheetView>
  </sheetViews>
  <sheetFormatPr defaultColWidth="8.85546875" defaultRowHeight="15" x14ac:dyDescent="0.25"/>
  <cols>
    <col min="1" max="1" width="23.28515625" style="11" customWidth="1"/>
    <col min="2" max="2" width="24.42578125" style="11" customWidth="1"/>
    <col min="3" max="4" width="15.7109375" style="11" customWidth="1"/>
    <col min="5" max="5" width="14.28515625" style="11" customWidth="1"/>
    <col min="6" max="6" width="19.140625" style="11" customWidth="1"/>
    <col min="7" max="7" width="14.5703125" style="12" customWidth="1"/>
    <col min="8" max="8" width="28.710937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240" x14ac:dyDescent="0.25">
      <c r="A4" s="231" t="s">
        <v>165</v>
      </c>
      <c r="B4" s="231" t="s">
        <v>16</v>
      </c>
      <c r="C4" s="231"/>
      <c r="D4" s="237" t="s">
        <v>400</v>
      </c>
      <c r="E4" s="128" t="s">
        <v>124</v>
      </c>
      <c r="F4" s="129" t="s">
        <v>574</v>
      </c>
      <c r="G4" s="126" t="str">
        <f>IF(ISBLANK(E4),"",E4)</f>
        <v>Tak</v>
      </c>
      <c r="H4" s="231" t="str">
        <f>IF(G4="nie","Umieszczenie schodów zawęża trasę wolną od przeszkód w ciągu pieszym. Należy zmienić układ schodów lub ciągu pieszego tak by wzajemnie się nie zaburzały","")</f>
        <v/>
      </c>
      <c r="I4" s="13" t="s">
        <v>145</v>
      </c>
    </row>
    <row r="5" spans="1:9" ht="180" x14ac:dyDescent="0.25">
      <c r="A5" s="233" t="s">
        <v>166</v>
      </c>
      <c r="B5" s="233" t="s">
        <v>17</v>
      </c>
      <c r="C5" s="233"/>
      <c r="D5" s="94" t="s">
        <v>401</v>
      </c>
      <c r="E5" s="172">
        <v>155</v>
      </c>
      <c r="F5" s="176"/>
      <c r="G5" s="235" t="str">
        <f>IF(ISBLANK(E5),"",IF(E5&lt;120,"Nie","Tak"))</f>
        <v>Tak</v>
      </c>
      <c r="H5" s="233" t="str">
        <f>IF(ISBLANK(E5),"",IF(G5="tak","","Zbyt wąskie schody. Należy zapewnić szerokość zgodną z przepisami"))</f>
        <v/>
      </c>
      <c r="I5" s="79" t="s">
        <v>145</v>
      </c>
    </row>
    <row r="6" spans="1:9" ht="90" x14ac:dyDescent="0.25">
      <c r="A6" s="232" t="s">
        <v>18</v>
      </c>
      <c r="B6" s="232" t="s">
        <v>60</v>
      </c>
      <c r="C6" s="232"/>
      <c r="D6" s="125" t="s">
        <v>402</v>
      </c>
      <c r="E6" s="132">
        <v>8</v>
      </c>
      <c r="F6" s="104"/>
      <c r="G6" s="234" t="str">
        <f>IF(ISBLANK(E6),"",IF(E6&gt;17,"Nie","Tak"))</f>
        <v>Tak</v>
      </c>
      <c r="H6" s="232" t="str">
        <f>IF(G6="nie","Niewłaściwa liczba stopni w biegu","")</f>
        <v/>
      </c>
      <c r="I6" s="13" t="s">
        <v>145</v>
      </c>
    </row>
    <row r="7" spans="1:9" ht="89.45" customHeight="1" x14ac:dyDescent="0.25">
      <c r="A7" s="244" t="s">
        <v>19</v>
      </c>
      <c r="B7" s="233" t="s">
        <v>130</v>
      </c>
      <c r="C7" s="233"/>
      <c r="D7" s="94" t="s">
        <v>403</v>
      </c>
      <c r="E7" s="172" t="s">
        <v>541</v>
      </c>
      <c r="F7" s="176"/>
      <c r="G7" s="235" t="str">
        <f>IF(ISBLANK(E7),"",IF(ISTEXT(E7),E7,IF(E7&lt;15.1,"Tak","Nie")))</f>
        <v>NIE DOTYCZY</v>
      </c>
      <c r="H7" s="233" t="str">
        <f>IF(G7="nie","Niewłaściwa wysokość stopni. Należy zapewnić wysokość zgodną z przepisami.","")</f>
        <v/>
      </c>
      <c r="I7" s="79" t="s">
        <v>145</v>
      </c>
    </row>
    <row r="8" spans="1:9" ht="66.599999999999994" customHeight="1" x14ac:dyDescent="0.25">
      <c r="A8" s="246"/>
      <c r="B8" s="233" t="s">
        <v>131</v>
      </c>
      <c r="C8" s="233"/>
      <c r="D8" s="94" t="s">
        <v>404</v>
      </c>
      <c r="E8" s="172">
        <v>15</v>
      </c>
      <c r="F8" s="176"/>
      <c r="G8" s="235" t="str">
        <f>IF(ISBLANK(E8),"",IF(ISTEXT(E8),E8,IF(E8&lt;17.6,"Tak","Nie")))</f>
        <v>Tak</v>
      </c>
      <c r="H8" s="233" t="str">
        <f>IF(G8="nie","Niewłaściwa wysokość stopni. Należy zapewnić wysokość zgodną z przepisami.","")</f>
        <v/>
      </c>
      <c r="I8" s="79" t="s">
        <v>145</v>
      </c>
    </row>
    <row r="9" spans="1:9" ht="172.15" customHeight="1" x14ac:dyDescent="0.25">
      <c r="A9" s="232" t="s">
        <v>298</v>
      </c>
      <c r="B9" s="232" t="s">
        <v>299</v>
      </c>
      <c r="C9" s="232"/>
      <c r="D9" s="237" t="s">
        <v>405</v>
      </c>
      <c r="E9" s="101" t="s">
        <v>125</v>
      </c>
      <c r="F9" s="105"/>
      <c r="G9" s="234" t="str">
        <f>IF(ISBLANK(E9),"",IF(OR(E9="Nie",E9="tak"),"Nie dotyczy",IF(E9="Tak - dotyczy","Nie","Tak")))</f>
        <v>Nie dotyczy</v>
      </c>
      <c r="H9" s="232" t="str">
        <f>IF(G9="nie","Schody z noskami należy zlikwidować","")</f>
        <v/>
      </c>
      <c r="I9" s="13" t="s">
        <v>145</v>
      </c>
    </row>
    <row r="10" spans="1:9" ht="105" x14ac:dyDescent="0.25">
      <c r="A10" s="233" t="s">
        <v>24</v>
      </c>
      <c r="B10" s="233" t="s">
        <v>25</v>
      </c>
      <c r="C10" s="233"/>
      <c r="D10" s="236" t="s">
        <v>380</v>
      </c>
      <c r="E10" s="200" t="s">
        <v>125</v>
      </c>
      <c r="F10" s="227"/>
      <c r="G10" s="235" t="str">
        <f>IF(ISBLANK(E10),"",E10)</f>
        <v>Nie</v>
      </c>
      <c r="H10" s="233" t="str">
        <f>IF(ISBLANK(E10),"",IF(G10="tak","","Należy oznaczyć kolorem kontrastowym krawędź pierwszego i ostatniego stopnia w każdym biegu schodów."))</f>
        <v>Należy oznaczyć kolorem kontrastowym krawędź pierwszego i ostatniego stopnia w każdym biegu schodów.</v>
      </c>
      <c r="I10" s="79" t="s">
        <v>145</v>
      </c>
    </row>
    <row r="11" spans="1:9" ht="124.9" customHeight="1" x14ac:dyDescent="0.25">
      <c r="A11" s="232" t="s">
        <v>26</v>
      </c>
      <c r="B11" s="232" t="s">
        <v>27</v>
      </c>
      <c r="C11" s="232"/>
      <c r="D11" s="237" t="s">
        <v>383</v>
      </c>
      <c r="E11" s="130" t="s">
        <v>124</v>
      </c>
      <c r="F11" s="105"/>
      <c r="G11" s="234" t="str">
        <f>IF(ISBLANK(E11),"",E11)</f>
        <v>Tak</v>
      </c>
      <c r="H11" s="232" t="str">
        <f>IF(E11="tak","",IF(E11="nie","Należy zapewnić balustradę zgodnie z przepisami.",""))</f>
        <v/>
      </c>
      <c r="I11" s="13" t="s">
        <v>145</v>
      </c>
    </row>
    <row r="12" spans="1:9" ht="165" x14ac:dyDescent="0.25">
      <c r="A12" s="233" t="s">
        <v>167</v>
      </c>
      <c r="B12" s="233" t="s">
        <v>30</v>
      </c>
      <c r="C12" s="233"/>
      <c r="D12" s="236" t="s">
        <v>387</v>
      </c>
      <c r="E12" s="200" t="s">
        <v>145</v>
      </c>
      <c r="F12" s="176"/>
      <c r="G12" s="235" t="str">
        <f>IF(ISBLANK(E12),"",E12)</f>
        <v>Nie dotyczy</v>
      </c>
      <c r="H12" s="233" t="str">
        <f>IF(E12="tak","",IF(E12="nie","Należy zapewnić balustradę pośrednią.",""))</f>
        <v/>
      </c>
      <c r="I12" s="79" t="s">
        <v>145</v>
      </c>
    </row>
    <row r="13" spans="1:9" ht="180.75" thickBot="1" x14ac:dyDescent="0.3">
      <c r="A13" s="232" t="s">
        <v>31</v>
      </c>
      <c r="B13" s="232">
        <v>110</v>
      </c>
      <c r="C13" s="232"/>
      <c r="D13" s="125" t="s">
        <v>386</v>
      </c>
      <c r="E13" s="144">
        <v>105</v>
      </c>
      <c r="F13" s="145"/>
      <c r="G13" s="234" t="str">
        <f>IF(ISBLANK(E13),"",IF(E13=110,"Tak","Nie"))</f>
        <v>Nie</v>
      </c>
      <c r="H13" s="232" t="str">
        <f>IF(G13="nie","Należy zapewnić pochwyt na wysokości zgodnej z przepisami.","")</f>
        <v>Należy zapewnić pochwyt na wysokości zgodnej z przepisami.</v>
      </c>
      <c r="I13" s="13" t="s">
        <v>145</v>
      </c>
    </row>
  </sheetData>
  <sheetProtection sheet="1" objects="1" scenarios="1"/>
  <protectedRanges>
    <protectedRange sqref="E4:F13 D7" name="Rozstęp1"/>
  </protectedRanges>
  <mergeCells count="4">
    <mergeCell ref="B1:I1"/>
    <mergeCell ref="A2:D2"/>
    <mergeCell ref="E2:I2"/>
    <mergeCell ref="A7:A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8289DB3-57AB-4454-B2C9-29FD5BEF2789}">
          <x14:formula1>
            <xm:f>'Dane do list rozwijanych'!$A$8:$A$9</xm:f>
          </x14:formula1>
          <xm:sqref>E2:I2</xm:sqref>
        </x14:dataValidation>
        <x14:dataValidation type="list" allowBlank="1" showInputMessage="1" showErrorMessage="1" xr:uid="{F1FC9B2C-0543-4D36-9829-A9F1837A75E3}">
          <x14:formula1>
            <xm:f>'Dane do list rozwijanych'!$A$2:$A$4</xm:f>
          </x14:formula1>
          <xm:sqref>E4 E10:E12</xm:sqref>
        </x14:dataValidation>
        <x14:dataValidation type="list" allowBlank="1" showInputMessage="1" showErrorMessage="1" xr:uid="{57D2ED66-64EA-49E2-ADD9-2D74D8F8F9E7}">
          <x14:formula1>
            <xm:f>'Dane do list rozwijanych'!$A$18:$A$21</xm:f>
          </x14:formula1>
          <xm:sqref>E9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3"/>
  <sheetViews>
    <sheetView zoomScale="87" zoomScaleNormal="87" workbookViewId="0">
      <selection activeCell="E13" sqref="E13"/>
    </sheetView>
  </sheetViews>
  <sheetFormatPr defaultColWidth="8.85546875" defaultRowHeight="15" x14ac:dyDescent="0.25"/>
  <cols>
    <col min="1" max="1" width="23.28515625" style="11" customWidth="1"/>
    <col min="2" max="2" width="24.42578125" style="11" customWidth="1"/>
    <col min="3" max="4" width="15.7109375" style="11" customWidth="1"/>
    <col min="5" max="5" width="14.28515625" style="11" customWidth="1"/>
    <col min="6" max="6" width="19.140625" style="11" customWidth="1"/>
    <col min="7" max="7" width="14.5703125" style="12" customWidth="1"/>
    <col min="8" max="8" width="28.710937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240" x14ac:dyDescent="0.25">
      <c r="A4" s="10" t="s">
        <v>165</v>
      </c>
      <c r="B4" s="10" t="s">
        <v>16</v>
      </c>
      <c r="C4" s="10"/>
      <c r="D4" s="124" t="s">
        <v>400</v>
      </c>
      <c r="E4" s="128" t="s">
        <v>124</v>
      </c>
      <c r="F4" s="129" t="s">
        <v>542</v>
      </c>
      <c r="G4" s="126" t="str">
        <f>IF(ISBLANK(E4),"",E4)</f>
        <v>Tak</v>
      </c>
      <c r="H4" s="10" t="str">
        <f>IF(G4="nie","Umieszczenie schodów zawęża trasę wolną od przeszkód w ciągu pieszym. Należy zmienić układ schodów lub ciągu pieszego tak by wzajemnie się nie zaburzały","")</f>
        <v/>
      </c>
      <c r="I4" s="13" t="s">
        <v>145</v>
      </c>
    </row>
    <row r="5" spans="1:9" ht="180" x14ac:dyDescent="0.25">
      <c r="A5" s="5" t="s">
        <v>166</v>
      </c>
      <c r="B5" s="5" t="s">
        <v>17</v>
      </c>
      <c r="C5" s="5"/>
      <c r="D5" s="94" t="s">
        <v>401</v>
      </c>
      <c r="E5" s="172">
        <v>166</v>
      </c>
      <c r="F5" s="176"/>
      <c r="G5" s="111" t="str">
        <f>IF(ISBLANK(E5),"",IF(E5&lt;120,"Nie","Tak"))</f>
        <v>Tak</v>
      </c>
      <c r="H5" s="5" t="str">
        <f>IF(ISBLANK(E5),"",IF(G5="tak","","Zbyt wąskie schody. Należy zapewnić szerokość zgodną z przepisami"))</f>
        <v/>
      </c>
      <c r="I5" s="7" t="s">
        <v>145</v>
      </c>
    </row>
    <row r="6" spans="1:9" ht="90" x14ac:dyDescent="0.25">
      <c r="A6" s="1" t="s">
        <v>18</v>
      </c>
      <c r="B6" s="1" t="s">
        <v>60</v>
      </c>
      <c r="C6" s="1"/>
      <c r="D6" s="125" t="s">
        <v>402</v>
      </c>
      <c r="E6" s="132">
        <v>11</v>
      </c>
      <c r="F6" s="104"/>
      <c r="G6" s="127" t="str">
        <f>IF(ISBLANK(E6),"",IF(E6&gt;17,"Nie","Tak"))</f>
        <v>Tak</v>
      </c>
      <c r="H6" s="1" t="str">
        <f>IF(G6="nie","Niewłaściwa liczba stopni w biegu","")</f>
        <v/>
      </c>
      <c r="I6" s="13" t="s">
        <v>145</v>
      </c>
    </row>
    <row r="7" spans="1:9" ht="89.45" customHeight="1" x14ac:dyDescent="0.25">
      <c r="A7" s="244" t="s">
        <v>19</v>
      </c>
      <c r="B7" s="5" t="s">
        <v>130</v>
      </c>
      <c r="C7" s="5"/>
      <c r="D7" s="94" t="s">
        <v>403</v>
      </c>
      <c r="E7" s="172" t="s">
        <v>541</v>
      </c>
      <c r="F7" s="176"/>
      <c r="G7" s="111" t="str">
        <f>IF(ISBLANK(E7),"",IF(ISTEXT(E7),E7,IF(E7&lt;15.1,"Tak","Nie")))</f>
        <v>NIE DOTYCZY</v>
      </c>
      <c r="H7" s="5" t="str">
        <f>IF(G7="nie","Niewłaściwa wysokość stopni. Należy zapewnić wysokość zgodną z przepisami.","")</f>
        <v/>
      </c>
      <c r="I7" s="7" t="s">
        <v>145</v>
      </c>
    </row>
    <row r="8" spans="1:9" ht="66.599999999999994" customHeight="1" x14ac:dyDescent="0.25">
      <c r="A8" s="246"/>
      <c r="B8" s="5" t="s">
        <v>131</v>
      </c>
      <c r="C8" s="5"/>
      <c r="D8" s="94" t="s">
        <v>404</v>
      </c>
      <c r="E8" s="172">
        <v>14</v>
      </c>
      <c r="F8" s="176" t="s">
        <v>543</v>
      </c>
      <c r="G8" s="111" t="str">
        <f>IF(ISBLANK(E8),"",IF(ISTEXT(E8),E8,IF(E8&lt;17.6,"Tak","Nie")))</f>
        <v>Tak</v>
      </c>
      <c r="H8" s="5" t="str">
        <f>IF(G8="nie","Niewłaściwa wysokość stopni. Należy zapewnić wysokość zgodną z przepisami.","")</f>
        <v/>
      </c>
      <c r="I8" s="7" t="s">
        <v>145</v>
      </c>
    </row>
    <row r="9" spans="1:9" ht="172.15" customHeight="1" x14ac:dyDescent="0.25">
      <c r="A9" s="1" t="s">
        <v>298</v>
      </c>
      <c r="B9" s="1" t="s">
        <v>299</v>
      </c>
      <c r="C9" s="1"/>
      <c r="D9" s="124" t="s">
        <v>405</v>
      </c>
      <c r="E9" s="101" t="s">
        <v>125</v>
      </c>
      <c r="F9" s="105"/>
      <c r="G9" s="127" t="str">
        <f>IF(ISBLANK(E9),"",IF(OR(E9="Nie",E9="tak"),"Nie dotyczy",IF(E9="Tak - dotyczy","Nie","Tak")))</f>
        <v>Nie dotyczy</v>
      </c>
      <c r="H9" s="1" t="str">
        <f>IF(G9="nie","Schody z noskami należy zlikwidować","")</f>
        <v/>
      </c>
      <c r="I9" s="13" t="s">
        <v>145</v>
      </c>
    </row>
    <row r="10" spans="1:9" ht="105" x14ac:dyDescent="0.25">
      <c r="A10" s="5" t="s">
        <v>24</v>
      </c>
      <c r="B10" s="5" t="s">
        <v>25</v>
      </c>
      <c r="C10" s="5"/>
      <c r="D10" s="107" t="s">
        <v>380</v>
      </c>
      <c r="E10" s="200" t="s">
        <v>125</v>
      </c>
      <c r="F10" s="227" t="s">
        <v>544</v>
      </c>
      <c r="G10" s="111" t="str">
        <f>IF(ISBLANK(E10),"",E10)</f>
        <v>Nie</v>
      </c>
      <c r="H10" s="5" t="str">
        <f>IF(ISBLANK(E10),"",IF(G10="tak","","Należy oznaczyć kolorem kontrastowym krawędź pierwszego i ostatniego stopnia w każdym biegu schodów."))</f>
        <v>Należy oznaczyć kolorem kontrastowym krawędź pierwszego i ostatniego stopnia w każdym biegu schodów.</v>
      </c>
      <c r="I10" s="7" t="s">
        <v>145</v>
      </c>
    </row>
    <row r="11" spans="1:9" ht="124.9" customHeight="1" x14ac:dyDescent="0.25">
      <c r="A11" s="1" t="s">
        <v>26</v>
      </c>
      <c r="B11" s="1" t="s">
        <v>27</v>
      </c>
      <c r="C11" s="1"/>
      <c r="D11" s="124" t="s">
        <v>383</v>
      </c>
      <c r="E11" s="130" t="s">
        <v>124</v>
      </c>
      <c r="F11" s="105"/>
      <c r="G11" s="127" t="str">
        <f>IF(ISBLANK(E11),"",E11)</f>
        <v>Tak</v>
      </c>
      <c r="H11" s="1" t="str">
        <f>IF(E11="tak","",IF(E11="nie","Należy zapewnić balustradę zgodnie z przepisami.",""))</f>
        <v/>
      </c>
      <c r="I11" s="13" t="s">
        <v>145</v>
      </c>
    </row>
    <row r="12" spans="1:9" ht="165" x14ac:dyDescent="0.25">
      <c r="A12" s="5" t="s">
        <v>167</v>
      </c>
      <c r="B12" s="5" t="s">
        <v>30</v>
      </c>
      <c r="C12" s="5"/>
      <c r="D12" s="107" t="s">
        <v>387</v>
      </c>
      <c r="E12" s="200" t="s">
        <v>145</v>
      </c>
      <c r="F12" s="176"/>
      <c r="G12" s="111" t="str">
        <f>IF(ISBLANK(E12),"",E12)</f>
        <v>Nie dotyczy</v>
      </c>
      <c r="H12" s="5" t="str">
        <f>IF(E12="tak","",IF(E12="nie","Należy zapewnić balustradę pośrednią.",""))</f>
        <v/>
      </c>
      <c r="I12" s="7" t="s">
        <v>145</v>
      </c>
    </row>
    <row r="13" spans="1:9" ht="180.75" thickBot="1" x14ac:dyDescent="0.3">
      <c r="A13" s="1" t="s">
        <v>31</v>
      </c>
      <c r="B13" s="1">
        <v>110</v>
      </c>
      <c r="C13" s="1"/>
      <c r="D13" s="125" t="s">
        <v>386</v>
      </c>
      <c r="E13" s="144">
        <v>110</v>
      </c>
      <c r="F13" s="145"/>
      <c r="G13" s="127" t="str">
        <f>IF(ISBLANK(E13),"",IF(E13=110,"Tak","Nie"))</f>
        <v>Tak</v>
      </c>
      <c r="H13" s="1" t="str">
        <f>IF(G13="nie","Należy zapewnić pochwyt na wysokości zgodnej z przepisami.","")</f>
        <v/>
      </c>
      <c r="I13" s="13" t="s">
        <v>145</v>
      </c>
    </row>
  </sheetData>
  <sheetProtection sheet="1" objects="1" scenarios="1"/>
  <protectedRanges>
    <protectedRange sqref="E4:F13 D7" name="Rozstęp1"/>
  </protectedRanges>
  <mergeCells count="4">
    <mergeCell ref="A7:A8"/>
    <mergeCell ref="B1:I1"/>
    <mergeCell ref="A2:D2"/>
    <mergeCell ref="E2:I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700-000000000000}">
          <x14:formula1>
            <xm:f>'Dane do list rozwijanych'!$A$18:$A$21</xm:f>
          </x14:formula1>
          <xm:sqref>E9</xm:sqref>
        </x14:dataValidation>
        <x14:dataValidation type="list" allowBlank="1" showInputMessage="1" showErrorMessage="1" xr:uid="{00000000-0002-0000-0700-000001000000}">
          <x14:formula1>
            <xm:f>'Dane do list rozwijanych'!$A$2:$A$4</xm:f>
          </x14:formula1>
          <xm:sqref>E4 E10:E12</xm:sqref>
        </x14:dataValidation>
        <x14:dataValidation type="list" allowBlank="1" showInputMessage="1" showErrorMessage="1" xr:uid="{00000000-0002-0000-0700-000002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5"/>
  <sheetViews>
    <sheetView topLeftCell="A7" zoomScale="84" zoomScaleNormal="84" workbookViewId="0">
      <selection activeCell="E14" sqref="E14"/>
    </sheetView>
  </sheetViews>
  <sheetFormatPr defaultColWidth="8.85546875" defaultRowHeight="15" x14ac:dyDescent="0.25"/>
  <cols>
    <col min="1" max="1" width="28.28515625" style="11" customWidth="1"/>
    <col min="2" max="2" width="23" style="11" customWidth="1"/>
    <col min="3" max="4" width="24.85546875" style="11" customWidth="1"/>
    <col min="5" max="5" width="25.42578125" style="11" customWidth="1"/>
    <col min="6" max="6" width="22.7109375" style="11" customWidth="1"/>
    <col min="7" max="7" width="8.85546875" style="12"/>
    <col min="8" max="8" width="28.7109375" style="11" customWidth="1"/>
    <col min="9" max="9" width="8.85546875" style="12"/>
    <col min="10" max="11" width="8.85546875" style="11"/>
    <col min="12" max="12" width="10" style="11" bestFit="1" customWidth="1"/>
    <col min="13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78.75" customHeight="1" x14ac:dyDescent="0.25">
      <c r="A4" s="268" t="s">
        <v>161</v>
      </c>
      <c r="B4" s="9" t="s">
        <v>62</v>
      </c>
      <c r="C4" s="9"/>
      <c r="D4" s="107" t="s">
        <v>406</v>
      </c>
      <c r="E4" s="170">
        <v>160</v>
      </c>
      <c r="F4" s="171"/>
      <c r="G4" s="98" t="str">
        <f>IF(ISBLANK(E4),"",IF(E4&lt;160,"Nie","Tak"))</f>
        <v>Tak</v>
      </c>
      <c r="H4" s="58" t="str">
        <f>IF(E4="","",IF(G4="tak","","Przestrzeń manewrowa przed windą jest niewystarczająca. Należy zapewnić minimum 160 cm wolnej przestrzeni do najbliższej przegrody/ściany."))</f>
        <v/>
      </c>
      <c r="I4" s="7" t="str">
        <f>G4</f>
        <v>Tak</v>
      </c>
    </row>
    <row r="5" spans="1:9" ht="123.6" customHeight="1" x14ac:dyDescent="0.25">
      <c r="A5" s="269"/>
      <c r="B5" s="78"/>
      <c r="C5" s="78" t="s">
        <v>67</v>
      </c>
      <c r="D5" s="107" t="s">
        <v>407</v>
      </c>
      <c r="E5" s="200" t="s">
        <v>545</v>
      </c>
      <c r="F5" s="173"/>
      <c r="G5" s="98" t="str">
        <f>IF(ISBLANK(E5),"",IF(OR(VALUE(RIGHT(E5,RIGHT(LEN(E5)-FIND("/",E5))))&lt;150,VALUE(LEFT(E5,FIND("/",E5)-1))&lt;160),"Nie","Tak"))</f>
        <v>Tak</v>
      </c>
      <c r="H5" s="58" t="str">
        <f>IF(E5="","",IF(G5="tak","","Przestrzeń manewrowa przed winda jest niewystarczająca. Należy zapewnić przestrzeń o wymiarch minimum 160x150cm."))</f>
        <v/>
      </c>
      <c r="I5" s="79" t="str">
        <f>G5</f>
        <v>Tak</v>
      </c>
    </row>
    <row r="6" spans="1:9" ht="30" x14ac:dyDescent="0.25">
      <c r="A6" s="1" t="s">
        <v>160</v>
      </c>
      <c r="B6" s="10" t="s">
        <v>63</v>
      </c>
      <c r="C6" s="10" t="s">
        <v>143</v>
      </c>
      <c r="D6" s="124" t="s">
        <v>408</v>
      </c>
      <c r="E6" s="130" t="s">
        <v>546</v>
      </c>
      <c r="F6" s="131"/>
      <c r="G6" s="126" t="str">
        <f>IF(ISBLANK(E6),"",IF(OR(VALUE(RIGHT(E6,RIGHT(LEN(E6)-FIND("/",E6))))&lt;140,VALUE(LEFT(E6,FIND("/",E6)-1))&lt;110),"Nie","Tak"))</f>
        <v>Tak</v>
      </c>
      <c r="H6" s="59" t="str">
        <f>IF(E6="","",IF(G6="tak","","Kabina windy jest zbyt mała. Minimalne wymiary kabiny to 110x140."))</f>
        <v/>
      </c>
      <c r="I6" s="13" t="str">
        <f>IF(ISBLANK(E6),"",IF(OR(VALUE(RIGHT(E6,RIGHT(LEN(E6)-FIND("/",E6))))&lt;210,VALUE(LEFT(E6,FIND("/",E6)-1))&lt;110),"Nie","Tak"))</f>
        <v>Nie</v>
      </c>
    </row>
    <row r="7" spans="1:9" ht="75" x14ac:dyDescent="0.25">
      <c r="A7" s="9" t="s">
        <v>159</v>
      </c>
      <c r="B7" s="9" t="s">
        <v>64</v>
      </c>
      <c r="C7" s="9" t="s">
        <v>68</v>
      </c>
      <c r="D7" s="107" t="s">
        <v>409</v>
      </c>
      <c r="E7" s="200">
        <v>94</v>
      </c>
      <c r="F7" s="173"/>
      <c r="G7" s="98" t="str">
        <f>IF(ISBLANK(E7),"",IF(E7=90,"Tak","Nie"))</f>
        <v>Nie</v>
      </c>
      <c r="H7" s="58" t="str">
        <f>IF(E7="","",IF(G7="Tak","","Poręcz znajduje się na niewłaściwej wysokości. Należy zapewnić poręcz zgodną z przepisami."))</f>
        <v>Poręcz znajduje się na niewłaściwej wysokości. Należy zapewnić poręcz zgodną z przepisami.</v>
      </c>
      <c r="I7" s="7" t="str">
        <f>G7</f>
        <v>Nie</v>
      </c>
    </row>
    <row r="8" spans="1:9" ht="135" x14ac:dyDescent="0.25">
      <c r="A8" s="10" t="s">
        <v>158</v>
      </c>
      <c r="B8" s="10" t="s">
        <v>50</v>
      </c>
      <c r="C8" s="10" t="s">
        <v>50</v>
      </c>
      <c r="D8" s="124" t="s">
        <v>410</v>
      </c>
      <c r="E8" s="130">
        <v>0</v>
      </c>
      <c r="F8" s="131"/>
      <c r="G8" s="126" t="str">
        <f>IF(ISBLANK(E8),"",IF(E8&gt;2,"Nie","Tak"))</f>
        <v>Tak</v>
      </c>
      <c r="H8" s="59" t="str">
        <f>IF(E8="","",IF(G8="Tak","",_xlfn.CONCAT(A8," nie może wynosić więcej niż 2 cm.")))</f>
        <v/>
      </c>
      <c r="I8" s="13" t="str">
        <f>G8</f>
        <v>Tak</v>
      </c>
    </row>
    <row r="9" spans="1:9" ht="90" x14ac:dyDescent="0.25">
      <c r="A9" s="9" t="s">
        <v>61</v>
      </c>
      <c r="B9" s="9" t="s">
        <v>65</v>
      </c>
      <c r="C9" s="9" t="s">
        <v>69</v>
      </c>
      <c r="D9" s="107" t="s">
        <v>411</v>
      </c>
      <c r="E9" s="200">
        <v>90</v>
      </c>
      <c r="F9" s="173"/>
      <c r="G9" s="98" t="str">
        <f>IF(ISBLANK(E9),"",IF(E9&gt;84,"Tak","Nie"))</f>
        <v>Tak</v>
      </c>
      <c r="H9" s="58" t="str">
        <f>IF(E9="","",IF(G9="Tak","",_xlfn.CONCAT(A9," nie może wynosić mniej niż 85 cm.")))</f>
        <v/>
      </c>
      <c r="I9" s="7" t="str">
        <f>G9</f>
        <v>Tak</v>
      </c>
    </row>
    <row r="10" spans="1:9" ht="55.15" customHeight="1" x14ac:dyDescent="0.25">
      <c r="A10" s="10" t="s">
        <v>302</v>
      </c>
      <c r="B10" s="10" t="s">
        <v>66</v>
      </c>
      <c r="C10" s="10" t="s">
        <v>70</v>
      </c>
      <c r="D10" s="124" t="s">
        <v>413</v>
      </c>
      <c r="E10" s="130">
        <v>94</v>
      </c>
      <c r="F10" s="131" t="s">
        <v>547</v>
      </c>
      <c r="G10" s="126" t="str">
        <f>IF(ISBLANK(E10),"",IF(AND(E10&gt;79,E10&lt;121),"Tak","Nie"))</f>
        <v>Tak</v>
      </c>
      <c r="H10" s="59" t="str">
        <f>IF(E10="","",IF(G10="Tak","","Zewnętrzny panel sterujący musi być zainstalowany na wysokości od 80 do 120 cm od posadzki (wysokość najwyżej umieszczonego przyciku)."))</f>
        <v/>
      </c>
      <c r="I10" s="16" t="str">
        <f>IF(ISBLANK(E10),"",IF(AND(E10&gt;79,E10&lt;111),"Tak","Nie"))</f>
        <v>Tak</v>
      </c>
    </row>
    <row r="11" spans="1:9" ht="46.9" customHeight="1" x14ac:dyDescent="0.25">
      <c r="A11" s="244" t="s">
        <v>162</v>
      </c>
      <c r="B11" s="9" t="s">
        <v>303</v>
      </c>
      <c r="C11" s="9" t="s">
        <v>305</v>
      </c>
      <c r="D11" s="107" t="s">
        <v>412</v>
      </c>
      <c r="E11" s="172">
        <v>92</v>
      </c>
      <c r="F11" s="173" t="s">
        <v>548</v>
      </c>
      <c r="G11" s="98" t="str">
        <f>IF(ISBLANK(E11),"",IF(AND(E11&gt;79,E11&lt;121),"Tak","Nie"))</f>
        <v>Tak</v>
      </c>
      <c r="H11" s="58" t="str">
        <f>IF(E11="","",IF(G11="Tak","","Wewnętrzny panel sterujący musi być zainstalowany na wysokości od 80 do 120 cm od posadzki (wysokość najwyżej umieszczonego przyciku) oraz w odległości 50 cm od naroża kabiny."))</f>
        <v/>
      </c>
      <c r="I11" s="6" t="str">
        <f>IF(ISBLANK(E11),"",IF(AND(E11&gt;79,E11&lt;111),"Tak","Nie"))</f>
        <v>Tak</v>
      </c>
    </row>
    <row r="12" spans="1:9" ht="110.25" customHeight="1" x14ac:dyDescent="0.25">
      <c r="A12" s="246"/>
      <c r="B12" s="34" t="s">
        <v>304</v>
      </c>
      <c r="C12" s="34" t="s">
        <v>306</v>
      </c>
      <c r="D12" s="107" t="s">
        <v>414</v>
      </c>
      <c r="E12" s="172" t="s">
        <v>125</v>
      </c>
      <c r="F12" s="173" t="s">
        <v>549</v>
      </c>
      <c r="G12" s="98" t="str">
        <f>IF(ISBLANK(E12),"",E12)</f>
        <v>Nie</v>
      </c>
      <c r="H12" s="58" t="str">
        <f>IF(E12="","",IF(G12="Tak","","Wewnętrzny panel sterujący musi być zainstalowany na wysokości od 80 do 120 cm od posadzki (wysokość najwyżej umieszczonego przyciku) oraz w odległości 50 cm od naroża kabiny."))</f>
        <v>Wewnętrzny panel sterujący musi być zainstalowany na wysokości od 80 do 120 cm od posadzki (wysokość najwyżej umieszczonego przyciku) oraz w odległości 50 cm od naroża kabiny.</v>
      </c>
      <c r="I12" s="6" t="str">
        <f>G12</f>
        <v>Nie</v>
      </c>
    </row>
    <row r="13" spans="1:9" ht="60" x14ac:dyDescent="0.25">
      <c r="A13" s="10" t="s">
        <v>163</v>
      </c>
      <c r="B13" s="10"/>
      <c r="C13" s="36" t="s">
        <v>71</v>
      </c>
      <c r="D13" s="124" t="s">
        <v>415</v>
      </c>
      <c r="E13" s="132" t="s">
        <v>125</v>
      </c>
      <c r="F13" s="131"/>
      <c r="G13" s="126" t="s">
        <v>145</v>
      </c>
      <c r="H13" s="59"/>
      <c r="I13" s="16" t="str">
        <f>IF(ISBLANK(E13),"",E13)</f>
        <v>Nie</v>
      </c>
    </row>
    <row r="14" spans="1:9" ht="75.75" thickBot="1" x14ac:dyDescent="0.3">
      <c r="A14" s="9" t="s">
        <v>164</v>
      </c>
      <c r="B14" s="9"/>
      <c r="C14" s="9" t="s">
        <v>72</v>
      </c>
      <c r="D14" s="107" t="s">
        <v>416</v>
      </c>
      <c r="E14" s="174" t="s">
        <v>125</v>
      </c>
      <c r="F14" s="202"/>
      <c r="G14" s="98" t="s">
        <v>145</v>
      </c>
      <c r="H14" s="58"/>
      <c r="I14" s="6" t="str">
        <f>IF(ISBLANK(E14),"",E14)</f>
        <v>Nie</v>
      </c>
    </row>
    <row r="15" spans="1:9" x14ac:dyDescent="0.25">
      <c r="H15" s="60"/>
    </row>
  </sheetData>
  <sheetProtection sheet="1" objects="1" scenarios="1"/>
  <protectedRanges>
    <protectedRange sqref="E4:F14 D5" name="Rozstęp1"/>
  </protectedRanges>
  <mergeCells count="5">
    <mergeCell ref="A11:A12"/>
    <mergeCell ref="A4:A5"/>
    <mergeCell ref="B1:I1"/>
    <mergeCell ref="A2:D2"/>
    <mergeCell ref="E2:I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800-000000000000}">
          <x14:formula1>
            <xm:f>'Dane do list rozwijanych'!$A$8:$A$9</xm:f>
          </x14:formula1>
          <xm:sqref>E12:E14 E2:I2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3"/>
  <sheetViews>
    <sheetView zoomScale="96" zoomScaleNormal="96" workbookViewId="0">
      <selection activeCell="E4" sqref="E4"/>
    </sheetView>
  </sheetViews>
  <sheetFormatPr defaultColWidth="8.85546875" defaultRowHeight="15" x14ac:dyDescent="0.25"/>
  <cols>
    <col min="1" max="1" width="29" style="11" customWidth="1"/>
    <col min="2" max="2" width="22.28515625" style="11" customWidth="1"/>
    <col min="3" max="4" width="24.7109375" style="11" customWidth="1"/>
    <col min="5" max="5" width="8.7109375" style="11" customWidth="1"/>
    <col min="6" max="6" width="17.7109375" style="11" customWidth="1"/>
    <col min="7" max="7" width="8.85546875" style="12"/>
    <col min="8" max="8" width="27.710937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255" x14ac:dyDescent="0.25">
      <c r="A4" s="10" t="s">
        <v>73</v>
      </c>
      <c r="B4" s="10" t="s">
        <v>81</v>
      </c>
      <c r="C4" s="10" t="s">
        <v>84</v>
      </c>
      <c r="D4" s="124" t="s">
        <v>422</v>
      </c>
      <c r="E4" s="128"/>
      <c r="F4" s="129"/>
      <c r="G4" s="126" t="str">
        <f>IF(ISBLANK(E4),"",IF(E4="nie","Nie","Tak"))</f>
        <v/>
      </c>
      <c r="H4" s="59" t="str">
        <f>IF(E4="tak","",IF(E4="nie","Należy dostosować przynajmniej jedną toaletę dla osób poruszających się na wózkach.",""))</f>
        <v/>
      </c>
      <c r="I4" s="16" t="str">
        <f>IF(E4="","",IF(E4="tak - kondygnacje dostępne","Tak","Nie"))</f>
        <v/>
      </c>
    </row>
    <row r="5" spans="1:9" ht="45" x14ac:dyDescent="0.25">
      <c r="A5" s="9" t="s">
        <v>74</v>
      </c>
      <c r="B5" s="9" t="s">
        <v>82</v>
      </c>
      <c r="C5" s="9" t="s">
        <v>82</v>
      </c>
      <c r="D5" s="107" t="s">
        <v>419</v>
      </c>
      <c r="E5" s="172"/>
      <c r="F5" s="173"/>
      <c r="G5" s="98" t="str">
        <f>IF(E5="","",IF(E5&gt;89,"Tak","Nie"))</f>
        <v/>
      </c>
      <c r="H5" s="58" t="str">
        <f>IF(E5="","",IF(G5="Tak","",_xlfn.CONCAT(A5," nie może wynosić mniej niż 90 cm.")))</f>
        <v/>
      </c>
      <c r="I5" s="7" t="str">
        <f>G5</f>
        <v/>
      </c>
    </row>
    <row r="6" spans="1:9" ht="120" x14ac:dyDescent="0.25">
      <c r="A6" s="1" t="s">
        <v>170</v>
      </c>
      <c r="B6" s="1" t="s">
        <v>83</v>
      </c>
      <c r="C6" s="1" t="s">
        <v>83</v>
      </c>
      <c r="D6" s="125" t="s">
        <v>420</v>
      </c>
      <c r="E6" s="132"/>
      <c r="F6" s="157"/>
      <c r="G6" s="126" t="str">
        <f>IF(E6="","",IF(OR(VALUE(RIGHT(E6,RIGHT(LEN(E6)-FIND("/",E6))))&lt;150,VALUE(LEFT(E6,FIND("/",E6)-1))&lt;150),"Nie","Tak"))</f>
        <v/>
      </c>
      <c r="H6" s="59" t="str">
        <f>IF(E6="","",IF(G6="tak","","Przestrzeń manewrowa jest niewystarczająca. Należy zapewnić przestrzeń o wymiarach minimum 150x150cm."))</f>
        <v/>
      </c>
      <c r="I6" s="13" t="str">
        <f>G6</f>
        <v/>
      </c>
    </row>
    <row r="7" spans="1:9" ht="115.15" customHeight="1" x14ac:dyDescent="0.25">
      <c r="A7" s="5" t="s">
        <v>75</v>
      </c>
      <c r="B7" s="5"/>
      <c r="C7" s="5" t="s">
        <v>148</v>
      </c>
      <c r="D7" s="94" t="s">
        <v>421</v>
      </c>
      <c r="E7" s="172"/>
      <c r="F7" s="176"/>
      <c r="G7" s="111" t="s">
        <v>145</v>
      </c>
      <c r="H7" s="61"/>
      <c r="I7" s="7" t="str">
        <f>IF(E7="","",E7)</f>
        <v/>
      </c>
    </row>
    <row r="8" spans="1:9" ht="60" x14ac:dyDescent="0.25">
      <c r="A8" s="1" t="s">
        <v>76</v>
      </c>
      <c r="B8" s="1"/>
      <c r="C8" s="1" t="s">
        <v>132</v>
      </c>
      <c r="D8" s="125" t="s">
        <v>423</v>
      </c>
      <c r="E8" s="132"/>
      <c r="F8" s="105"/>
      <c r="G8" s="127" t="s">
        <v>145</v>
      </c>
      <c r="H8" s="62"/>
      <c r="I8" s="13" t="str">
        <f>IF(E8="","",IF(AND(E8&gt;44,E8&lt;49),"Tak","Nie"))</f>
        <v/>
      </c>
    </row>
    <row r="9" spans="1:9" ht="45" x14ac:dyDescent="0.25">
      <c r="A9" s="5" t="s">
        <v>149</v>
      </c>
      <c r="B9" s="5"/>
      <c r="C9" s="5" t="s">
        <v>134</v>
      </c>
      <c r="D9" s="94" t="s">
        <v>424</v>
      </c>
      <c r="E9" s="172"/>
      <c r="F9" s="176"/>
      <c r="G9" s="111" t="s">
        <v>145</v>
      </c>
      <c r="H9" s="61"/>
      <c r="I9" s="7" t="str">
        <f>IF(E9="","",IF(E9=70,"Tak","Nie"))</f>
        <v/>
      </c>
    </row>
    <row r="10" spans="1:9" ht="105" x14ac:dyDescent="0.25">
      <c r="A10" s="1" t="s">
        <v>77</v>
      </c>
      <c r="B10" s="1"/>
      <c r="C10" s="1" t="s">
        <v>135</v>
      </c>
      <c r="D10" s="125" t="s">
        <v>425</v>
      </c>
      <c r="E10" s="132"/>
      <c r="F10" s="105"/>
      <c r="G10" s="127" t="s">
        <v>145</v>
      </c>
      <c r="H10" s="62"/>
      <c r="I10" s="13" t="str">
        <f>IF(E10="","",IF(AND(E10&gt;74,E10&lt;86),"Tak","Nie"))</f>
        <v/>
      </c>
    </row>
    <row r="11" spans="1:9" ht="60" x14ac:dyDescent="0.25">
      <c r="A11" s="5" t="s">
        <v>78</v>
      </c>
      <c r="B11" s="5"/>
      <c r="C11" s="5" t="s">
        <v>133</v>
      </c>
      <c r="D11" s="94" t="s">
        <v>426</v>
      </c>
      <c r="E11" s="172"/>
      <c r="F11" s="176"/>
      <c r="G11" s="111" t="s">
        <v>145</v>
      </c>
      <c r="H11" s="61"/>
      <c r="I11" s="7" t="str">
        <f>IF(E11="","",IF(AND(E11&gt;29,E11&lt;36),"Tak","Nie"))</f>
        <v/>
      </c>
    </row>
    <row r="12" spans="1:9" ht="60" x14ac:dyDescent="0.25">
      <c r="A12" s="1" t="s">
        <v>79</v>
      </c>
      <c r="B12" s="1"/>
      <c r="C12" s="1" t="s">
        <v>85</v>
      </c>
      <c r="D12" s="125" t="s">
        <v>427</v>
      </c>
      <c r="E12" s="132"/>
      <c r="F12" s="105"/>
      <c r="G12" s="127" t="s">
        <v>145</v>
      </c>
      <c r="H12" s="62"/>
      <c r="I12" s="13" t="str">
        <f>IF(E12="","",IF(AND(E12&gt;9,E12&lt;16),"Tak","Nie"))</f>
        <v/>
      </c>
    </row>
    <row r="13" spans="1:9" ht="105.75" thickBot="1" x14ac:dyDescent="0.3">
      <c r="A13" s="5" t="s">
        <v>80</v>
      </c>
      <c r="B13" s="5"/>
      <c r="C13" s="5" t="s">
        <v>86</v>
      </c>
      <c r="D13" s="94" t="s">
        <v>428</v>
      </c>
      <c r="E13" s="174"/>
      <c r="F13" s="175"/>
      <c r="G13" s="111" t="s">
        <v>145</v>
      </c>
      <c r="H13" s="61"/>
      <c r="I13" s="7" t="str">
        <f>IF(E13="","",E13)</f>
        <v/>
      </c>
    </row>
  </sheetData>
  <sheetProtection sheet="1" objects="1" scenarios="1"/>
  <protectedRanges>
    <protectedRange sqref="E4:F13" name="Rozstęp1"/>
  </protectedRanges>
  <mergeCells count="3">
    <mergeCell ref="B1:I1"/>
    <mergeCell ref="A2:D2"/>
    <mergeCell ref="E2:I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900-000000000000}">
          <x14:formula1>
            <xm:f>'Dane do list rozwijanych'!$A$2:$A$4</xm:f>
          </x14:formula1>
          <xm:sqref>E13</xm:sqref>
        </x14:dataValidation>
        <x14:dataValidation type="list" allowBlank="1" showInputMessage="1" showErrorMessage="1" xr:uid="{00000000-0002-0000-0900-000001000000}">
          <x14:formula1>
            <xm:f>'Dane do list rozwijanych'!$A$25:$A$28</xm:f>
          </x14:formula1>
          <xm:sqref>E4</xm:sqref>
        </x14:dataValidation>
        <x14:dataValidation type="list" allowBlank="1" showInputMessage="1" showErrorMessage="1" xr:uid="{00000000-0002-0000-0900-000002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39"/>
  <sheetViews>
    <sheetView zoomScale="124" zoomScaleNormal="124" workbookViewId="0">
      <selection activeCell="A3" sqref="A3:I5"/>
    </sheetView>
  </sheetViews>
  <sheetFormatPr defaultColWidth="8.85546875" defaultRowHeight="15" x14ac:dyDescent="0.25"/>
  <cols>
    <col min="1" max="1" width="13.28515625" style="11" customWidth="1"/>
    <col min="2" max="2" width="9.42578125" style="11" customWidth="1"/>
    <col min="3" max="4" width="20.7109375" style="11" customWidth="1"/>
    <col min="5" max="5" width="14.140625" style="11" customWidth="1"/>
    <col min="6" max="6" width="25.140625" style="11" customWidth="1"/>
    <col min="7" max="7" width="8.85546875" style="12"/>
    <col min="8" max="8" width="29.570312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9.5" thickBot="1" x14ac:dyDescent="0.3">
      <c r="A3" s="8" t="s">
        <v>0</v>
      </c>
      <c r="B3" s="8" t="s">
        <v>94</v>
      </c>
      <c r="C3" s="8" t="s">
        <v>1</v>
      </c>
      <c r="D3" s="8" t="s">
        <v>344</v>
      </c>
      <c r="E3" s="147" t="s">
        <v>106</v>
      </c>
      <c r="F3" s="147" t="s">
        <v>126</v>
      </c>
      <c r="G3" s="8" t="s">
        <v>105</v>
      </c>
      <c r="H3" s="8" t="s">
        <v>95</v>
      </c>
      <c r="I3" s="8" t="s">
        <v>97</v>
      </c>
    </row>
    <row r="4" spans="1:9" ht="60" x14ac:dyDescent="0.25">
      <c r="A4" s="263" t="s">
        <v>220</v>
      </c>
      <c r="B4" s="10" t="s">
        <v>87</v>
      </c>
      <c r="C4" s="10" t="s">
        <v>87</v>
      </c>
      <c r="D4" s="124" t="s">
        <v>429</v>
      </c>
      <c r="E4" s="128">
        <v>93</v>
      </c>
      <c r="F4" s="129" t="s">
        <v>584</v>
      </c>
      <c r="G4" s="126" t="str">
        <f>IF(ISBLANK(E4),"",IF(E4&lt;90,"Nie","Tak"))</f>
        <v>Tak</v>
      </c>
      <c r="H4" s="10" t="str">
        <f>IF(ISBLANK(E4),"",IF(E4&lt;90,"Zbyt wąskie drzwi. Minimalna szerokość wymagana przepisami to 90 cm.",""))</f>
        <v/>
      </c>
      <c r="I4" s="13" t="str">
        <f>G4</f>
        <v>Tak</v>
      </c>
    </row>
    <row r="5" spans="1:9" ht="75" x14ac:dyDescent="0.25">
      <c r="A5" s="257"/>
      <c r="B5" s="10" t="s">
        <v>221</v>
      </c>
      <c r="C5" s="10" t="s">
        <v>222</v>
      </c>
      <c r="D5" s="81" t="s">
        <v>430</v>
      </c>
      <c r="E5" s="130" t="s">
        <v>526</v>
      </c>
      <c r="F5" s="131"/>
      <c r="G5" s="126" t="str">
        <f>IF(ISBLANK(E5),"",IF(E5&gt;2,"Nie","Tak"))</f>
        <v>Nie</v>
      </c>
      <c r="H5" s="90" t="str">
        <f>IF(ISBLANK(E5),"",IF(E5&gt;2,"Wysokość progu nie może przekraczać 2 cm. Należy zlikwidować lub obniżyć próg w drzwiach.",""))</f>
        <v>Wysokość progu nie może przekraczać 2 cm. Należy zlikwidować lub obniżyć próg w drzwiach.</v>
      </c>
      <c r="I5" s="16" t="str">
        <f>IF(ISBLANK(E5),"",IF(E5&gt;0.5,"Nie","Tak"))</f>
        <v>Nie</v>
      </c>
    </row>
    <row r="6" spans="1:9" ht="60" x14ac:dyDescent="0.25">
      <c r="A6" s="244" t="s">
        <v>220</v>
      </c>
      <c r="B6" s="9" t="s">
        <v>87</v>
      </c>
      <c r="C6" s="9" t="s">
        <v>87</v>
      </c>
      <c r="D6" s="107" t="s">
        <v>429</v>
      </c>
      <c r="E6" s="200">
        <v>93</v>
      </c>
      <c r="F6" s="173" t="s">
        <v>583</v>
      </c>
      <c r="G6" s="98" t="str">
        <f>IF(ISBLANK(E6),"",IF(E6&lt;90,"Nie","Tak"))</f>
        <v>Tak</v>
      </c>
      <c r="H6" s="9" t="str">
        <f>IF(ISBLANK(E6),"",IF(E6&lt;90,"Zbyt wąskie drzwi. Minimalna szerokość wymagana przepisami to 90 cm.",""))</f>
        <v/>
      </c>
      <c r="I6" s="7" t="str">
        <f>G6</f>
        <v>Tak</v>
      </c>
    </row>
    <row r="7" spans="1:9" ht="75" x14ac:dyDescent="0.25">
      <c r="A7" s="246"/>
      <c r="B7" s="9" t="s">
        <v>221</v>
      </c>
      <c r="C7" s="9" t="s">
        <v>222</v>
      </c>
      <c r="D7" s="107" t="s">
        <v>430</v>
      </c>
      <c r="E7" s="200" t="s">
        <v>526</v>
      </c>
      <c r="F7" s="173"/>
      <c r="G7" s="98" t="str">
        <f>IF(ISBLANK(E7),"",IF(E7&gt;2,"Nie","Tak"))</f>
        <v>Nie</v>
      </c>
      <c r="H7" s="9" t="str">
        <f>IF(ISBLANK(E7),"",IF(E7&gt;2,"Wysokość progu nie może przekraczać 2 cm. Należy zlikwidować lub obniżyć próg w drzwiach.",""))</f>
        <v>Wysokość progu nie może przekraczać 2 cm. Należy zlikwidować lub obniżyć próg w drzwiach.</v>
      </c>
      <c r="I7" s="6" t="str">
        <f>IF(ISBLANK(E7),"",IF(E7&gt;0.5,"Nie","Tak"))</f>
        <v>Nie</v>
      </c>
    </row>
    <row r="8" spans="1:9" ht="60" x14ac:dyDescent="0.25">
      <c r="A8" s="263" t="s">
        <v>220</v>
      </c>
      <c r="B8" s="10" t="s">
        <v>87</v>
      </c>
      <c r="C8" s="10" t="s">
        <v>87</v>
      </c>
      <c r="D8" s="124" t="s">
        <v>429</v>
      </c>
      <c r="E8" s="130"/>
      <c r="F8" s="131"/>
      <c r="G8" s="126" t="str">
        <f>IF(ISBLANK(E8),"",IF(E8&lt;90,"Nie","Tak"))</f>
        <v/>
      </c>
      <c r="H8" s="10" t="str">
        <f>IF(ISBLANK(E8),"",IF(E8&lt;90,"Zbyt wąskie drzwi. Minimalna szerokość wymagana przepisami to 90 cm.",""))</f>
        <v/>
      </c>
      <c r="I8" s="13" t="str">
        <f>G8</f>
        <v/>
      </c>
    </row>
    <row r="9" spans="1:9" ht="75" x14ac:dyDescent="0.25">
      <c r="A9" s="257"/>
      <c r="B9" s="10" t="s">
        <v>221</v>
      </c>
      <c r="C9" s="10" t="s">
        <v>222</v>
      </c>
      <c r="D9" s="124" t="s">
        <v>430</v>
      </c>
      <c r="E9" s="130"/>
      <c r="F9" s="131"/>
      <c r="G9" s="126" t="str">
        <f>IF(ISBLANK(E9),"",IF(E9&gt;2,"Nie","Tak"))</f>
        <v/>
      </c>
      <c r="H9" s="10" t="str">
        <f>IF(ISBLANK(E9),"",IF(E9&gt;2,"Wysokość progu nie może przekraczać 2 cm. Należy zlikwidować lub obniżyć próg w drzwiach.",""))</f>
        <v/>
      </c>
      <c r="I9" s="16" t="str">
        <f>IF(ISBLANK(E9),"",IF(E9&gt;0.5,"Nie","Tak"))</f>
        <v/>
      </c>
    </row>
    <row r="10" spans="1:9" ht="60" x14ac:dyDescent="0.25">
      <c r="A10" s="244" t="s">
        <v>220</v>
      </c>
      <c r="B10" s="9" t="s">
        <v>87</v>
      </c>
      <c r="C10" s="9" t="s">
        <v>87</v>
      </c>
      <c r="D10" s="107" t="s">
        <v>429</v>
      </c>
      <c r="E10" s="200"/>
      <c r="F10" s="173"/>
      <c r="G10" s="98" t="str">
        <f>IF(ISBLANK(E10),"",IF(E10&lt;90,"Nie","Tak"))</f>
        <v/>
      </c>
      <c r="H10" s="9" t="str">
        <f>IF(ISBLANK(E10),"",IF(E10&lt;90,"Zbyt wąskie drzwi. Minimalna szerokość wymagana przepisami to 90 cm.",""))</f>
        <v/>
      </c>
      <c r="I10" s="7" t="str">
        <f>G10</f>
        <v/>
      </c>
    </row>
    <row r="11" spans="1:9" ht="75" x14ac:dyDescent="0.25">
      <c r="A11" s="246"/>
      <c r="B11" s="9" t="s">
        <v>221</v>
      </c>
      <c r="C11" s="9" t="s">
        <v>222</v>
      </c>
      <c r="D11" s="107" t="s">
        <v>430</v>
      </c>
      <c r="E11" s="200"/>
      <c r="F11" s="173"/>
      <c r="G11" s="98" t="str">
        <f>IF(ISBLANK(E11),"",IF(E11&gt;2,"Nie","Tak"))</f>
        <v/>
      </c>
      <c r="H11" s="9" t="str">
        <f>IF(ISBLANK(E11),"",IF(E11&gt;2,"Wysokość progu nie może przekraczać 2 cm. Należy zlikwidować lub obniżyć próg w drzwiach.",""))</f>
        <v/>
      </c>
      <c r="I11" s="6" t="str">
        <f>IF(ISBLANK(E11),"",IF(E11&gt;0.5,"Nie","Tak"))</f>
        <v/>
      </c>
    </row>
    <row r="12" spans="1:9" ht="60" x14ac:dyDescent="0.25">
      <c r="A12" s="263" t="s">
        <v>220</v>
      </c>
      <c r="B12" s="10" t="s">
        <v>87</v>
      </c>
      <c r="C12" s="10" t="s">
        <v>87</v>
      </c>
      <c r="D12" s="124" t="s">
        <v>429</v>
      </c>
      <c r="E12" s="130"/>
      <c r="F12" s="131"/>
      <c r="G12" s="126" t="str">
        <f>IF(ISBLANK(E12),"",IF(E12&lt;90,"Nie","Tak"))</f>
        <v/>
      </c>
      <c r="H12" s="10" t="str">
        <f>IF(ISBLANK(E12),"",IF(E12&lt;90,"Zbyt wąskie drzwi. Minimalna szerokość wymagana przepisami to 90 cm.",""))</f>
        <v/>
      </c>
      <c r="I12" s="13" t="str">
        <f>G12</f>
        <v/>
      </c>
    </row>
    <row r="13" spans="1:9" ht="75" x14ac:dyDescent="0.25">
      <c r="A13" s="257"/>
      <c r="B13" s="10" t="s">
        <v>221</v>
      </c>
      <c r="C13" s="10" t="s">
        <v>222</v>
      </c>
      <c r="D13" s="124" t="s">
        <v>430</v>
      </c>
      <c r="E13" s="130"/>
      <c r="F13" s="131"/>
      <c r="G13" s="126" t="str">
        <f>IF(ISBLANK(E13),"",IF(E13&gt;2,"Nie","Tak"))</f>
        <v/>
      </c>
      <c r="H13" s="10" t="str">
        <f>IF(ISBLANK(E13),"",IF(E13&gt;2,"Wysokość progu nie może przekraczać 2 cm. Należy zlikwidować lub obniżyć próg w drzwiach.",""))</f>
        <v/>
      </c>
      <c r="I13" s="16" t="str">
        <f>IF(ISBLANK(E13),"",IF(E13&gt;0.5,"Nie","Tak"))</f>
        <v/>
      </c>
    </row>
    <row r="14" spans="1:9" ht="60" x14ac:dyDescent="0.25">
      <c r="A14" s="244" t="s">
        <v>220</v>
      </c>
      <c r="B14" s="9" t="s">
        <v>87</v>
      </c>
      <c r="C14" s="9" t="s">
        <v>87</v>
      </c>
      <c r="D14" s="107" t="s">
        <v>429</v>
      </c>
      <c r="E14" s="200"/>
      <c r="F14" s="173"/>
      <c r="G14" s="98" t="str">
        <f>IF(ISBLANK(E14),"",IF(E14&lt;90,"Nie","Tak"))</f>
        <v/>
      </c>
      <c r="H14" s="9" t="str">
        <f>IF(ISBLANK(E14),"",IF(E14&lt;90,"Zbyt wąskie drzwi. Minimalna szerokość wymagana przepisami to 90 cm.",""))</f>
        <v/>
      </c>
      <c r="I14" s="7" t="str">
        <f>G14</f>
        <v/>
      </c>
    </row>
    <row r="15" spans="1:9" ht="75" x14ac:dyDescent="0.25">
      <c r="A15" s="246"/>
      <c r="B15" s="9" t="s">
        <v>221</v>
      </c>
      <c r="C15" s="9" t="s">
        <v>222</v>
      </c>
      <c r="D15" s="107" t="s">
        <v>430</v>
      </c>
      <c r="E15" s="200"/>
      <c r="F15" s="173"/>
      <c r="G15" s="98" t="str">
        <f>IF(ISBLANK(E15),"",IF(E15&gt;2,"Nie","Tak"))</f>
        <v/>
      </c>
      <c r="H15" s="9" t="str">
        <f>IF(ISBLANK(E15),"",IF(E15&gt;2,"Wysokość progu nie może przekraczać 2 cm. Należy zlikwidować lub obniżyć próg w drzwiach.",""))</f>
        <v/>
      </c>
      <c r="I15" s="6" t="str">
        <f>IF(ISBLANK(E15),"",IF(E15&gt;0.5,"Nie","Tak"))</f>
        <v/>
      </c>
    </row>
    <row r="16" spans="1:9" ht="60" x14ac:dyDescent="0.25">
      <c r="A16" s="263" t="s">
        <v>220</v>
      </c>
      <c r="B16" s="10" t="s">
        <v>87</v>
      </c>
      <c r="C16" s="10" t="s">
        <v>87</v>
      </c>
      <c r="D16" s="124" t="s">
        <v>429</v>
      </c>
      <c r="E16" s="130"/>
      <c r="F16" s="131"/>
      <c r="G16" s="126" t="str">
        <f>IF(ISBLANK(E16),"",IF(E16&lt;90,"Nie","Tak"))</f>
        <v/>
      </c>
      <c r="H16" s="10" t="str">
        <f>IF(ISBLANK(E16),"",IF(E16&lt;90,"Zbyt wąskie drzwi. Minimalna szerokość wymagana przepisami to 90 cm.",""))</f>
        <v/>
      </c>
      <c r="I16" s="13" t="str">
        <f>G16</f>
        <v/>
      </c>
    </row>
    <row r="17" spans="1:9" ht="75" x14ac:dyDescent="0.25">
      <c r="A17" s="257"/>
      <c r="B17" s="10" t="s">
        <v>221</v>
      </c>
      <c r="C17" s="10" t="s">
        <v>222</v>
      </c>
      <c r="D17" s="124" t="s">
        <v>430</v>
      </c>
      <c r="E17" s="130"/>
      <c r="F17" s="131"/>
      <c r="G17" s="126" t="str">
        <f>IF(ISBLANK(E17),"",IF(E17&gt;2,"Nie","Tak"))</f>
        <v/>
      </c>
      <c r="H17" s="10" t="str">
        <f>IF(ISBLANK(E17),"",IF(E17&gt;2,"Wysokość progu nie może przekraczać 2 cm. Należy zlikwidować lub obniżyć próg w drzwiach.",""))</f>
        <v/>
      </c>
      <c r="I17" s="16" t="str">
        <f>IF(ISBLANK(E17),"",IF(E17&gt;0.5,"Nie","Tak"))</f>
        <v/>
      </c>
    </row>
    <row r="18" spans="1:9" ht="60" x14ac:dyDescent="0.25">
      <c r="A18" s="244" t="s">
        <v>220</v>
      </c>
      <c r="B18" s="9" t="s">
        <v>87</v>
      </c>
      <c r="C18" s="9" t="s">
        <v>87</v>
      </c>
      <c r="D18" s="107" t="s">
        <v>429</v>
      </c>
      <c r="E18" s="200"/>
      <c r="F18" s="173"/>
      <c r="G18" s="98" t="s">
        <v>519</v>
      </c>
      <c r="H18" s="9" t="s">
        <v>519</v>
      </c>
      <c r="I18" s="7" t="s">
        <v>519</v>
      </c>
    </row>
    <row r="19" spans="1:9" ht="75" x14ac:dyDescent="0.25">
      <c r="A19" s="246"/>
      <c r="B19" s="9" t="s">
        <v>221</v>
      </c>
      <c r="C19" s="9" t="s">
        <v>222</v>
      </c>
      <c r="D19" s="107" t="s">
        <v>430</v>
      </c>
      <c r="E19" s="200"/>
      <c r="F19" s="173"/>
      <c r="G19" s="98" t="s">
        <v>519</v>
      </c>
      <c r="H19" s="9" t="s">
        <v>519</v>
      </c>
      <c r="I19" s="6" t="s">
        <v>519</v>
      </c>
    </row>
    <row r="20" spans="1:9" ht="60" x14ac:dyDescent="0.25">
      <c r="A20" s="263" t="s">
        <v>220</v>
      </c>
      <c r="B20" s="10" t="s">
        <v>87</v>
      </c>
      <c r="C20" s="10" t="s">
        <v>87</v>
      </c>
      <c r="D20" s="124" t="s">
        <v>429</v>
      </c>
      <c r="E20" s="130"/>
      <c r="F20" s="131"/>
      <c r="G20" s="126" t="s">
        <v>519</v>
      </c>
      <c r="H20" s="10" t="s">
        <v>519</v>
      </c>
      <c r="I20" s="13" t="s">
        <v>519</v>
      </c>
    </row>
    <row r="21" spans="1:9" ht="75" x14ac:dyDescent="0.25">
      <c r="A21" s="257"/>
      <c r="B21" s="10" t="s">
        <v>221</v>
      </c>
      <c r="C21" s="10" t="s">
        <v>222</v>
      </c>
      <c r="D21" s="124" t="s">
        <v>430</v>
      </c>
      <c r="E21" s="130"/>
      <c r="F21" s="131"/>
      <c r="G21" s="126" t="s">
        <v>519</v>
      </c>
      <c r="H21" s="10" t="s">
        <v>519</v>
      </c>
      <c r="I21" s="16" t="s">
        <v>519</v>
      </c>
    </row>
    <row r="22" spans="1:9" ht="60" x14ac:dyDescent="0.25">
      <c r="A22" s="244" t="s">
        <v>220</v>
      </c>
      <c r="B22" s="9" t="s">
        <v>87</v>
      </c>
      <c r="C22" s="9" t="s">
        <v>87</v>
      </c>
      <c r="D22" s="107" t="s">
        <v>429</v>
      </c>
      <c r="E22" s="200"/>
      <c r="F22" s="173"/>
      <c r="G22" s="98" t="s">
        <v>519</v>
      </c>
      <c r="H22" s="9" t="s">
        <v>519</v>
      </c>
      <c r="I22" s="7" t="s">
        <v>519</v>
      </c>
    </row>
    <row r="23" spans="1:9" ht="75" x14ac:dyDescent="0.25">
      <c r="A23" s="246"/>
      <c r="B23" s="9" t="s">
        <v>221</v>
      </c>
      <c r="C23" s="9" t="s">
        <v>222</v>
      </c>
      <c r="D23" s="107" t="s">
        <v>430</v>
      </c>
      <c r="E23" s="200"/>
      <c r="F23" s="173"/>
      <c r="G23" s="98" t="s">
        <v>519</v>
      </c>
      <c r="H23" s="9" t="s">
        <v>519</v>
      </c>
      <c r="I23" s="6" t="s">
        <v>519</v>
      </c>
    </row>
    <row r="24" spans="1:9" ht="60" x14ac:dyDescent="0.25">
      <c r="A24" s="263" t="s">
        <v>220</v>
      </c>
      <c r="B24" s="10" t="s">
        <v>87</v>
      </c>
      <c r="C24" s="10" t="s">
        <v>87</v>
      </c>
      <c r="D24" s="124" t="s">
        <v>429</v>
      </c>
      <c r="E24" s="130"/>
      <c r="F24" s="131"/>
      <c r="G24" s="126" t="s">
        <v>519</v>
      </c>
      <c r="H24" s="10" t="s">
        <v>519</v>
      </c>
      <c r="I24" s="13" t="s">
        <v>519</v>
      </c>
    </row>
    <row r="25" spans="1:9" ht="75" x14ac:dyDescent="0.25">
      <c r="A25" s="257"/>
      <c r="B25" s="10" t="s">
        <v>221</v>
      </c>
      <c r="C25" s="10" t="s">
        <v>222</v>
      </c>
      <c r="D25" s="124" t="s">
        <v>430</v>
      </c>
      <c r="E25" s="130"/>
      <c r="F25" s="131"/>
      <c r="G25" s="126" t="s">
        <v>519</v>
      </c>
      <c r="H25" s="10" t="s">
        <v>519</v>
      </c>
      <c r="I25" s="16" t="s">
        <v>519</v>
      </c>
    </row>
    <row r="26" spans="1:9" ht="60" x14ac:dyDescent="0.25">
      <c r="A26" s="244" t="s">
        <v>220</v>
      </c>
      <c r="B26" s="9" t="s">
        <v>87</v>
      </c>
      <c r="C26" s="9" t="s">
        <v>87</v>
      </c>
      <c r="D26" s="107" t="s">
        <v>429</v>
      </c>
      <c r="E26" s="200"/>
      <c r="F26" s="173"/>
      <c r="G26" s="98" t="str">
        <f>IF(ISBLANK(E26),"",IF(E26&lt;90,"Nie","Tak"))</f>
        <v/>
      </c>
      <c r="H26" s="9" t="str">
        <f>IF(ISBLANK(E26),"",IF(E26&lt;90,"Zbyt wąskie drzwi. Minimalna szerokość wymagana przepisami to 90 cm.",""))</f>
        <v/>
      </c>
      <c r="I26" s="7" t="str">
        <f>G26</f>
        <v/>
      </c>
    </row>
    <row r="27" spans="1:9" ht="75" x14ac:dyDescent="0.25">
      <c r="A27" s="246"/>
      <c r="B27" s="9" t="s">
        <v>221</v>
      </c>
      <c r="C27" s="9" t="s">
        <v>222</v>
      </c>
      <c r="D27" s="107" t="s">
        <v>430</v>
      </c>
      <c r="E27" s="200"/>
      <c r="F27" s="173"/>
      <c r="G27" s="98" t="str">
        <f>IF(ISBLANK(E27),"",IF(E27&gt;2,"Nie","Tak"))</f>
        <v/>
      </c>
      <c r="H27" s="9" t="str">
        <f>IF(ISBLANK(E27),"",IF(E27&gt;2,"Wysokość progu nie może przekraczać 2 cm. Należy zlikwidować lub obniżyć próg w drzwiach.",""))</f>
        <v/>
      </c>
      <c r="I27" s="6" t="str">
        <f>IF(ISBLANK(E27),"",IF(E27&gt;0.5,"Nie","Tak"))</f>
        <v/>
      </c>
    </row>
    <row r="28" spans="1:9" ht="60" x14ac:dyDescent="0.25">
      <c r="A28" s="263" t="s">
        <v>220</v>
      </c>
      <c r="B28" s="10" t="s">
        <v>87</v>
      </c>
      <c r="C28" s="10" t="s">
        <v>87</v>
      </c>
      <c r="D28" s="124" t="s">
        <v>429</v>
      </c>
      <c r="E28" s="130"/>
      <c r="F28" s="131"/>
      <c r="G28" s="126" t="str">
        <f>IF(ISBLANK(E28),"",IF(E28&lt;90,"Nie","Tak"))</f>
        <v/>
      </c>
      <c r="H28" s="10" t="str">
        <f>IF(ISBLANK(E28),"",IF(E28&lt;90,"Zbyt wąskie drzwi. Minimalna szerokość wymagana przepisami to 90 cm.",""))</f>
        <v/>
      </c>
      <c r="I28" s="13" t="str">
        <f>G28</f>
        <v/>
      </c>
    </row>
    <row r="29" spans="1:9" ht="75" x14ac:dyDescent="0.25">
      <c r="A29" s="257"/>
      <c r="B29" s="10" t="s">
        <v>221</v>
      </c>
      <c r="C29" s="10" t="s">
        <v>222</v>
      </c>
      <c r="D29" s="124" t="s">
        <v>430</v>
      </c>
      <c r="E29" s="130"/>
      <c r="F29" s="131"/>
      <c r="G29" s="126" t="str">
        <f>IF(ISBLANK(E29),"",IF(E29&gt;2,"Nie","Tak"))</f>
        <v/>
      </c>
      <c r="H29" s="10" t="str">
        <f>IF(ISBLANK(E29),"",IF(E29&gt;2,"Wysokość progu nie może przekraczać 2 cm. Należy zlikwidować lub obniżyć próg w drzwiach.",""))</f>
        <v/>
      </c>
      <c r="I29" s="16" t="str">
        <f>IF(ISBLANK(E29),"",IF(E29&gt;0.5,"Nie","Tak"))</f>
        <v/>
      </c>
    </row>
    <row r="30" spans="1:9" ht="60" x14ac:dyDescent="0.25">
      <c r="A30" s="244" t="s">
        <v>220</v>
      </c>
      <c r="B30" s="9" t="s">
        <v>87</v>
      </c>
      <c r="C30" s="9" t="s">
        <v>87</v>
      </c>
      <c r="D30" s="107" t="s">
        <v>429</v>
      </c>
      <c r="E30" s="200"/>
      <c r="F30" s="173"/>
      <c r="G30" s="98" t="str">
        <f>IF(ISBLANK(E30),"",IF(E30&lt;90,"Nie","Tak"))</f>
        <v/>
      </c>
      <c r="H30" s="9" t="str">
        <f>IF(ISBLANK(E30),"",IF(E30&lt;90,"Zbyt wąskie drzwi. Minimalna szerokość wymagana przepisami to 90 cm.",""))</f>
        <v/>
      </c>
      <c r="I30" s="7" t="str">
        <f>G30</f>
        <v/>
      </c>
    </row>
    <row r="31" spans="1:9" ht="75" x14ac:dyDescent="0.25">
      <c r="A31" s="246"/>
      <c r="B31" s="9" t="s">
        <v>221</v>
      </c>
      <c r="C31" s="9" t="s">
        <v>222</v>
      </c>
      <c r="D31" s="107" t="s">
        <v>430</v>
      </c>
      <c r="E31" s="200"/>
      <c r="F31" s="173"/>
      <c r="G31" s="98" t="str">
        <f>IF(ISBLANK(E31),"",IF(E31&gt;2,"Nie","Tak"))</f>
        <v/>
      </c>
      <c r="H31" s="9" t="str">
        <f>IF(ISBLANK(E31),"",IF(E31&gt;2,"Wysokość progu nie może przekraczać 2 cm. Należy zlikwidować lub obniżyć próg w drzwiach.",""))</f>
        <v/>
      </c>
      <c r="I31" s="6" t="str">
        <f>IF(ISBLANK(E31),"",IF(E31&gt;0.5,"Nie","Tak"))</f>
        <v/>
      </c>
    </row>
    <row r="32" spans="1:9" ht="60" x14ac:dyDescent="0.25">
      <c r="A32" s="263" t="s">
        <v>220</v>
      </c>
      <c r="B32" s="10" t="s">
        <v>87</v>
      </c>
      <c r="C32" s="10" t="s">
        <v>87</v>
      </c>
      <c r="D32" s="124" t="s">
        <v>429</v>
      </c>
      <c r="E32" s="130"/>
      <c r="F32" s="131"/>
      <c r="G32" s="126" t="str">
        <f>IF(ISBLANK(E32),"",IF(E32&lt;90,"Nie","Tak"))</f>
        <v/>
      </c>
      <c r="H32" s="10" t="str">
        <f>IF(ISBLANK(E32),"",IF(E32&lt;90,"Zbyt wąskie drzwi. Minimalna szerokość wymagana przepisami to 90 cm.",""))</f>
        <v/>
      </c>
      <c r="I32" s="13" t="str">
        <f>G32</f>
        <v/>
      </c>
    </row>
    <row r="33" spans="1:9" ht="75" x14ac:dyDescent="0.25">
      <c r="A33" s="257"/>
      <c r="B33" s="10" t="s">
        <v>221</v>
      </c>
      <c r="C33" s="10" t="s">
        <v>222</v>
      </c>
      <c r="D33" s="124" t="s">
        <v>430</v>
      </c>
      <c r="E33" s="130"/>
      <c r="F33" s="131"/>
      <c r="G33" s="126" t="str">
        <f>IF(ISBLANK(E33),"",IF(E33&gt;2,"Nie","Tak"))</f>
        <v/>
      </c>
      <c r="H33" s="10" t="str">
        <f>IF(ISBLANK(E33),"",IF(E33&gt;2,"Wysokość progu nie może przekraczać 2 cm. Należy zlikwidować lub obniżyć próg w drzwiach.",""))</f>
        <v/>
      </c>
      <c r="I33" s="16" t="str">
        <f>IF(ISBLANK(E33),"",IF(E33&gt;0.5,"Nie","Tak"))</f>
        <v/>
      </c>
    </row>
    <row r="34" spans="1:9" ht="60" x14ac:dyDescent="0.25">
      <c r="A34" s="244" t="s">
        <v>220</v>
      </c>
      <c r="B34" s="9" t="s">
        <v>87</v>
      </c>
      <c r="C34" s="9" t="s">
        <v>87</v>
      </c>
      <c r="D34" s="107" t="s">
        <v>429</v>
      </c>
      <c r="E34" s="200"/>
      <c r="F34" s="173"/>
      <c r="G34" s="98" t="str">
        <f>IF(ISBLANK(E34),"",IF(E34&lt;90,"Nie","Tak"))</f>
        <v/>
      </c>
      <c r="H34" s="9" t="str">
        <f>IF(ISBLANK(E34),"",IF(E34&lt;90,"Zbyt wąskie drzwi. Minimalna szerokość wymagana przepisami to 90 cm.",""))</f>
        <v/>
      </c>
      <c r="I34" s="7" t="str">
        <f>G34</f>
        <v/>
      </c>
    </row>
    <row r="35" spans="1:9" ht="75" x14ac:dyDescent="0.25">
      <c r="A35" s="246"/>
      <c r="B35" s="9" t="s">
        <v>221</v>
      </c>
      <c r="C35" s="9" t="s">
        <v>222</v>
      </c>
      <c r="D35" s="107" t="s">
        <v>430</v>
      </c>
      <c r="E35" s="200"/>
      <c r="F35" s="173"/>
      <c r="G35" s="98" t="str">
        <f>IF(ISBLANK(E35),"",IF(E35&gt;2,"Nie","Tak"))</f>
        <v/>
      </c>
      <c r="H35" s="9" t="str">
        <f>IF(ISBLANK(E35),"",IF(E35&gt;2,"Wysokość progu nie może przekraczać 2 cm. Należy zlikwidować lub obniżyć próg w drzwiach.",""))</f>
        <v/>
      </c>
      <c r="I35" s="6" t="str">
        <f>IF(ISBLANK(E35),"",IF(E35&gt;0.5,"Nie","Tak"))</f>
        <v/>
      </c>
    </row>
    <row r="36" spans="1:9" ht="60" x14ac:dyDescent="0.25">
      <c r="A36" s="263" t="s">
        <v>220</v>
      </c>
      <c r="B36" s="10" t="s">
        <v>87</v>
      </c>
      <c r="C36" s="10" t="s">
        <v>87</v>
      </c>
      <c r="D36" s="124" t="s">
        <v>429</v>
      </c>
      <c r="E36" s="130"/>
      <c r="F36" s="131"/>
      <c r="G36" s="126" t="str">
        <f>IF(ISBLANK(E36),"",IF(E36&lt;90,"Nie","Tak"))</f>
        <v/>
      </c>
      <c r="H36" s="10" t="str">
        <f>IF(ISBLANK(E36),"",IF(E36&lt;90,"Zbyt wąskie drzwi. Minimalna szerokość wymagana przepisami to 90 cm.",""))</f>
        <v/>
      </c>
      <c r="I36" s="13" t="str">
        <f>G36</f>
        <v/>
      </c>
    </row>
    <row r="37" spans="1:9" ht="75" x14ac:dyDescent="0.25">
      <c r="A37" s="257"/>
      <c r="B37" s="10" t="s">
        <v>221</v>
      </c>
      <c r="C37" s="10" t="s">
        <v>222</v>
      </c>
      <c r="D37" s="124" t="s">
        <v>430</v>
      </c>
      <c r="E37" s="130"/>
      <c r="F37" s="131"/>
      <c r="G37" s="126" t="str">
        <f>IF(ISBLANK(E37),"",IF(E37&gt;2,"Nie","Tak"))</f>
        <v/>
      </c>
      <c r="H37" s="10" t="str">
        <f>IF(ISBLANK(E37),"",IF(E37&gt;2,"Wysokość progu nie może przekraczać 2 cm. Należy zlikwidować lub obniżyć próg w drzwiach.",""))</f>
        <v/>
      </c>
      <c r="I37" s="16" t="str">
        <f>IF(ISBLANK(E37),"",IF(E37&gt;0.5,"Nie","Tak"))</f>
        <v/>
      </c>
    </row>
    <row r="38" spans="1:9" ht="60" x14ac:dyDescent="0.25">
      <c r="A38" s="244" t="s">
        <v>220</v>
      </c>
      <c r="B38" s="9" t="s">
        <v>87</v>
      </c>
      <c r="C38" s="9" t="s">
        <v>87</v>
      </c>
      <c r="D38" s="107" t="s">
        <v>429</v>
      </c>
      <c r="E38" s="200"/>
      <c r="F38" s="173"/>
      <c r="G38" s="98" t="str">
        <f>IF(ISBLANK(E38),"",IF(E38&lt;90,"Nie","Tak"))</f>
        <v/>
      </c>
      <c r="H38" s="9" t="str">
        <f>IF(ISBLANK(E38),"",IF(E38&lt;90,"Zbyt wąskie drzwi. Minimalna szerokość wymagana przepisami to 90 cm.",""))</f>
        <v/>
      </c>
      <c r="I38" s="7" t="str">
        <f>G38</f>
        <v/>
      </c>
    </row>
    <row r="39" spans="1:9" ht="75.75" thickBot="1" x14ac:dyDescent="0.3">
      <c r="A39" s="246"/>
      <c r="B39" s="9" t="s">
        <v>221</v>
      </c>
      <c r="C39" s="9" t="s">
        <v>222</v>
      </c>
      <c r="D39" s="107" t="s">
        <v>430</v>
      </c>
      <c r="E39" s="201"/>
      <c r="F39" s="202"/>
      <c r="G39" s="98" t="str">
        <f>IF(ISBLANK(E39),"",IF(E39&gt;2,"Nie","Tak"))</f>
        <v/>
      </c>
      <c r="H39" s="9" t="str">
        <f>IF(ISBLANK(E39),"",IF(E39&gt;2,"Wysokość progu nie może przekraczać 2 cm. Należy zlikwidować lub obniżyć próg w drzwiach.",""))</f>
        <v/>
      </c>
      <c r="I39" s="6" t="str">
        <f>IF(ISBLANK(E39),"",IF(E39&gt;0.5,"Nie","Tak"))</f>
        <v/>
      </c>
    </row>
  </sheetData>
  <sheetProtection sheet="1" objects="1" scenarios="1"/>
  <protectedRanges>
    <protectedRange sqref="E4:F39" name="Rozstęp1"/>
  </protectedRanges>
  <mergeCells count="21">
    <mergeCell ref="A14:A15"/>
    <mergeCell ref="A16:A17"/>
    <mergeCell ref="A18:A19"/>
    <mergeCell ref="A20:A21"/>
    <mergeCell ref="A22:A23"/>
    <mergeCell ref="B1:I1"/>
    <mergeCell ref="A2:D2"/>
    <mergeCell ref="E2:I2"/>
    <mergeCell ref="A38:A39"/>
    <mergeCell ref="A26:A27"/>
    <mergeCell ref="A28:A29"/>
    <mergeCell ref="A30:A31"/>
    <mergeCell ref="A32:A33"/>
    <mergeCell ref="A34:A35"/>
    <mergeCell ref="A36:A37"/>
    <mergeCell ref="A24:A25"/>
    <mergeCell ref="A4:A5"/>
    <mergeCell ref="A6:A7"/>
    <mergeCell ref="A8:A9"/>
    <mergeCell ref="A10:A11"/>
    <mergeCell ref="A12:A13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A00-000000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5"/>
  <sheetViews>
    <sheetView zoomScaleNormal="100" workbookViewId="0">
      <selection sqref="A1:I5"/>
    </sheetView>
  </sheetViews>
  <sheetFormatPr defaultColWidth="8.85546875" defaultRowHeight="15" x14ac:dyDescent="0.25"/>
  <cols>
    <col min="1" max="1" width="29.42578125" style="11" customWidth="1"/>
    <col min="2" max="2" width="20.28515625" style="11" customWidth="1"/>
    <col min="3" max="4" width="21.85546875" style="11" customWidth="1"/>
    <col min="5" max="6" width="8.5703125" style="11" customWidth="1"/>
    <col min="7" max="7" width="8.85546875" style="12"/>
    <col min="8" max="8" width="27.28515625" style="11" customWidth="1"/>
    <col min="9" max="9" width="8.85546875" style="12"/>
    <col min="10" max="10" width="12.42578125" style="11" customWidth="1"/>
    <col min="11" max="16384" width="8.85546875" style="11"/>
  </cols>
  <sheetData>
    <row r="1" spans="1:9" ht="79.5" thickBot="1" x14ac:dyDescent="0.3">
      <c r="A1" s="8" t="s">
        <v>0</v>
      </c>
      <c r="B1" s="8" t="s">
        <v>144</v>
      </c>
      <c r="C1" s="8" t="s">
        <v>1</v>
      </c>
      <c r="D1" s="8" t="s">
        <v>344</v>
      </c>
      <c r="E1" s="147" t="s">
        <v>106</v>
      </c>
      <c r="F1" s="147" t="s">
        <v>126</v>
      </c>
      <c r="G1" s="8" t="s">
        <v>105</v>
      </c>
      <c r="H1" s="8" t="s">
        <v>95</v>
      </c>
      <c r="I1" s="8" t="s">
        <v>97</v>
      </c>
    </row>
    <row r="2" spans="1:9" ht="28.9" customHeight="1" x14ac:dyDescent="0.25">
      <c r="A2" s="244" t="s">
        <v>171</v>
      </c>
      <c r="B2" s="9" t="s">
        <v>137</v>
      </c>
      <c r="C2" s="9" t="s">
        <v>327</v>
      </c>
      <c r="D2" s="107" t="s">
        <v>483</v>
      </c>
      <c r="E2" s="170" t="s">
        <v>124</v>
      </c>
      <c r="F2" s="171"/>
      <c r="G2" s="98" t="str">
        <f>IF(E2="","",E2)</f>
        <v>Tak</v>
      </c>
      <c r="H2" s="9" t="str">
        <f>IF(E2="","",IF(G2="tak","","Brak informacji wizualnej (graficznej) o rozkładzie pomieszczeń w budynku. Należy zapewnić właściwe oznaczenia."))</f>
        <v/>
      </c>
      <c r="I2" s="7" t="str">
        <f>G2</f>
        <v>Tak</v>
      </c>
    </row>
    <row r="3" spans="1:9" ht="43.15" customHeight="1" x14ac:dyDescent="0.25">
      <c r="A3" s="245"/>
      <c r="B3" s="244" t="s">
        <v>136</v>
      </c>
      <c r="C3" s="9" t="s">
        <v>138</v>
      </c>
      <c r="D3" s="107" t="s">
        <v>484</v>
      </c>
      <c r="E3" s="172" t="s">
        <v>125</v>
      </c>
      <c r="F3" s="173"/>
      <c r="G3" s="270" t="str">
        <f>IF(OR(E3="tak",E4="tak"),"Tak","Nie")</f>
        <v>Nie</v>
      </c>
      <c r="H3" s="244" t="str">
        <f>IF(E3="","",IF(G3="tak","","Brak informacji o rozkładzie pomieszczeń w budynku w formie dotykowej lub głosowej. Należy zapewnić informację we właściwej formie."))</f>
        <v>Brak informacji o rozkładzie pomieszczeń w budynku w formie dotykowej lub głosowej. Należy zapewnić informację we właściwej formie.</v>
      </c>
      <c r="I3" s="7" t="str">
        <f>IF(E3="","",E3)</f>
        <v>Nie</v>
      </c>
    </row>
    <row r="4" spans="1:9" ht="43.15" customHeight="1" x14ac:dyDescent="0.25">
      <c r="A4" s="246"/>
      <c r="B4" s="246"/>
      <c r="C4" s="9" t="s">
        <v>139</v>
      </c>
      <c r="D4" s="107" t="s">
        <v>485</v>
      </c>
      <c r="E4" s="172" t="s">
        <v>125</v>
      </c>
      <c r="F4" s="173"/>
      <c r="G4" s="271"/>
      <c r="H4" s="246"/>
      <c r="I4" s="6" t="str">
        <f>IF(E4="","",E4)</f>
        <v>Nie</v>
      </c>
    </row>
    <row r="5" spans="1:9" ht="60.75" thickBot="1" x14ac:dyDescent="0.3">
      <c r="A5" s="10" t="s">
        <v>172</v>
      </c>
      <c r="B5" s="10" t="s">
        <v>88</v>
      </c>
      <c r="C5" s="10" t="s">
        <v>88</v>
      </c>
      <c r="D5" s="124" t="s">
        <v>482</v>
      </c>
      <c r="E5" s="144" t="s">
        <v>124</v>
      </c>
      <c r="F5" s="156"/>
      <c r="G5" s="126" t="str">
        <f>IF(E4="","",E5)</f>
        <v>Tak</v>
      </c>
      <c r="H5" s="10" t="str">
        <f>IF(E5="","",IF(G5="tak","","Brak możliwości wstępu do budynku dla osoby z psem przewodnikiem jest niezgodne z prawem."))</f>
        <v/>
      </c>
      <c r="I5" s="13" t="str">
        <f t="shared" ref="I5" si="0">G5</f>
        <v>Tak</v>
      </c>
    </row>
  </sheetData>
  <sheetProtection sheet="1" objects="1" scenarios="1"/>
  <protectedRanges>
    <protectedRange sqref="E2:F5" name="Rozstęp1"/>
  </protectedRanges>
  <mergeCells count="4">
    <mergeCell ref="A2:A4"/>
    <mergeCell ref="B3:B4"/>
    <mergeCell ref="G3:G4"/>
    <mergeCell ref="H3:H4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B00-000000000000}">
          <x14:formula1>
            <xm:f>'Dane do list rozwijanych'!$A$8:$A$9</xm:f>
          </x14:formula1>
          <xm:sqref>E2:E5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17"/>
  <sheetViews>
    <sheetView topLeftCell="C1" zoomScaleNormal="100" workbookViewId="0">
      <selection activeCell="C1" sqref="C1:I6"/>
    </sheetView>
  </sheetViews>
  <sheetFormatPr defaultColWidth="8.85546875" defaultRowHeight="15" x14ac:dyDescent="0.25"/>
  <cols>
    <col min="1" max="1" width="27.28515625" style="11" customWidth="1"/>
    <col min="2" max="2" width="27.7109375" style="11" customWidth="1"/>
    <col min="3" max="4" width="29.7109375" style="11" customWidth="1"/>
    <col min="5" max="6" width="9.5703125" style="11" customWidth="1"/>
    <col min="7" max="7" width="10" style="12" bestFit="1" customWidth="1"/>
    <col min="8" max="8" width="33.42578125" style="11" customWidth="1"/>
    <col min="9" max="9" width="8.85546875" style="12"/>
    <col min="10" max="16384" width="8.85546875" style="11"/>
  </cols>
  <sheetData>
    <row r="1" spans="1:9" ht="79.5" thickBot="1" x14ac:dyDescent="0.3">
      <c r="A1" s="8" t="s">
        <v>0</v>
      </c>
      <c r="B1" s="8" t="s">
        <v>94</v>
      </c>
      <c r="C1" s="8" t="s">
        <v>1</v>
      </c>
      <c r="D1" s="8" t="s">
        <v>344</v>
      </c>
      <c r="E1" s="147" t="s">
        <v>106</v>
      </c>
      <c r="F1" s="147" t="s">
        <v>126</v>
      </c>
      <c r="G1" s="8" t="s">
        <v>105</v>
      </c>
      <c r="H1" s="8" t="s">
        <v>95</v>
      </c>
      <c r="I1" s="8" t="s">
        <v>97</v>
      </c>
    </row>
    <row r="2" spans="1:9" ht="60" x14ac:dyDescent="0.25">
      <c r="A2" s="9" t="s">
        <v>89</v>
      </c>
      <c r="B2" s="9" t="s">
        <v>118</v>
      </c>
      <c r="C2" s="9" t="s">
        <v>117</v>
      </c>
      <c r="D2" s="107" t="s">
        <v>486</v>
      </c>
      <c r="E2" s="170" t="s">
        <v>124</v>
      </c>
      <c r="F2" s="171"/>
      <c r="G2" s="98" t="str">
        <f>IF(E2="","",IF(E2="tak","Tak","Nie"))</f>
        <v>Tak</v>
      </c>
      <c r="H2" s="9" t="str">
        <f>IF(E2="","",IF(G2="tak","","Brak informacji o drogch ewakuacyjnych. Należy zapewnić właściwe oznaczenia."))</f>
        <v/>
      </c>
      <c r="I2" s="7" t="str">
        <f>G2</f>
        <v>Tak</v>
      </c>
    </row>
    <row r="3" spans="1:9" ht="45" x14ac:dyDescent="0.25">
      <c r="A3" s="10" t="s">
        <v>90</v>
      </c>
      <c r="B3" s="10" t="s">
        <v>119</v>
      </c>
      <c r="C3" s="10"/>
      <c r="D3" s="124" t="s">
        <v>487</v>
      </c>
      <c r="E3" s="132" t="s">
        <v>124</v>
      </c>
      <c r="F3" s="131"/>
      <c r="G3" s="126" t="str">
        <f>IF(E3="","",IF(E3="tak","Tak","Nie"))</f>
        <v>Tak</v>
      </c>
      <c r="H3" s="10" t="str">
        <f>IF(E3="","",IF(G3="tak","","Brak planu ewakuacji. Należy zapewnić właściwe oznaczenia."))</f>
        <v/>
      </c>
      <c r="I3" s="13" t="s">
        <v>145</v>
      </c>
    </row>
    <row r="4" spans="1:9" ht="30" x14ac:dyDescent="0.25">
      <c r="A4" s="9" t="s">
        <v>91</v>
      </c>
      <c r="B4" s="9" t="s">
        <v>93</v>
      </c>
      <c r="C4" s="9"/>
      <c r="D4" s="107" t="s">
        <v>488</v>
      </c>
      <c r="E4" s="172" t="s">
        <v>124</v>
      </c>
      <c r="F4" s="173"/>
      <c r="G4" s="98" t="str">
        <f>IF(E4="","",IF(E4="tak","Tak","Nie"))</f>
        <v>Tak</v>
      </c>
      <c r="H4" s="9" t="str">
        <f>IF(E4="","",IF(G4="tak","","Brak dźwiękowego systemu powiadamia alarmowego. Należy zapewnić właściwy system."))</f>
        <v/>
      </c>
      <c r="I4" s="7" t="s">
        <v>145</v>
      </c>
    </row>
    <row r="5" spans="1:9" ht="75" x14ac:dyDescent="0.25">
      <c r="A5" s="10" t="s">
        <v>92</v>
      </c>
      <c r="B5" s="10" t="s">
        <v>120</v>
      </c>
      <c r="C5" s="10"/>
      <c r="D5" s="124" t="s">
        <v>489</v>
      </c>
      <c r="E5" s="132" t="s">
        <v>124</v>
      </c>
      <c r="F5" s="131"/>
      <c r="G5" s="126" t="str">
        <f>IF(E5="","",IF(E5="tak","Tak","Nie"))</f>
        <v>Tak</v>
      </c>
      <c r="H5" s="10" t="str">
        <f>IF(E5="","",IF(G5="tak","","Brak awaryjnego oświetlenia ewakuacyjnego w budynku. Należy zapewnić właściwe oznaczenia."))</f>
        <v/>
      </c>
      <c r="I5" s="13" t="s">
        <v>145</v>
      </c>
    </row>
    <row r="6" spans="1:9" ht="30.75" thickBot="1" x14ac:dyDescent="0.3">
      <c r="A6" s="5" t="s">
        <v>150</v>
      </c>
      <c r="B6" s="5"/>
      <c r="C6" s="5"/>
      <c r="D6" s="94" t="s">
        <v>490</v>
      </c>
      <c r="E6" s="174" t="s">
        <v>125</v>
      </c>
      <c r="F6" s="175"/>
      <c r="G6" s="98" t="s">
        <v>145</v>
      </c>
      <c r="H6" s="9"/>
      <c r="I6" s="7" t="s">
        <v>145</v>
      </c>
    </row>
    <row r="8" spans="1:9" x14ac:dyDescent="0.25">
      <c r="A8" s="19"/>
    </row>
    <row r="9" spans="1:9" x14ac:dyDescent="0.25">
      <c r="A9" s="20"/>
    </row>
    <row r="10" spans="1:9" x14ac:dyDescent="0.25">
      <c r="A10" s="20"/>
    </row>
    <row r="11" spans="1:9" x14ac:dyDescent="0.25">
      <c r="A11" s="20"/>
    </row>
    <row r="12" spans="1:9" x14ac:dyDescent="0.25">
      <c r="A12" s="20"/>
    </row>
    <row r="13" spans="1:9" x14ac:dyDescent="0.25">
      <c r="A13" s="20"/>
    </row>
    <row r="14" spans="1:9" x14ac:dyDescent="0.25">
      <c r="A14" s="20"/>
    </row>
    <row r="15" spans="1:9" x14ac:dyDescent="0.25">
      <c r="A15" s="20"/>
    </row>
    <row r="16" spans="1:9" x14ac:dyDescent="0.25">
      <c r="A16" s="20"/>
    </row>
    <row r="17" spans="1:1" x14ac:dyDescent="0.25">
      <c r="A17" s="20"/>
    </row>
  </sheetData>
  <sheetProtection sheet="1" objects="1" scenarios="1"/>
  <protectedRanges>
    <protectedRange sqref="E2:F6" name="Rozstęp1"/>
  </protectedRange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C00-000000000000}">
          <x14:formula1>
            <xm:f>'Dane do list rozwijanych'!$A$8:$A$9</xm:f>
          </x14:formula1>
          <xm:sqref>E2:E6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"/>
  <sheetViews>
    <sheetView zoomScale="130" zoomScaleNormal="130" workbookViewId="0">
      <selection activeCell="E5" sqref="E5"/>
    </sheetView>
  </sheetViews>
  <sheetFormatPr defaultRowHeight="15" x14ac:dyDescent="0.25"/>
  <cols>
    <col min="1" max="1" width="32.28515625" customWidth="1"/>
    <col min="2" max="2" width="15.28515625" customWidth="1"/>
    <col min="3" max="4" width="14.140625" customWidth="1"/>
    <col min="5" max="6" width="7.28515625" customWidth="1"/>
    <col min="7" max="7" width="8.28515625" customWidth="1"/>
    <col min="8" max="8" width="33.42578125" customWidth="1"/>
  </cols>
  <sheetData>
    <row r="1" spans="1:9" ht="79.5" thickBot="1" x14ac:dyDescent="0.3">
      <c r="A1" s="21" t="s">
        <v>0</v>
      </c>
      <c r="B1" s="21" t="s">
        <v>94</v>
      </c>
      <c r="C1" s="21" t="s">
        <v>1</v>
      </c>
      <c r="D1" s="8" t="s">
        <v>344</v>
      </c>
      <c r="E1" s="21" t="s">
        <v>106</v>
      </c>
      <c r="F1" s="21" t="s">
        <v>126</v>
      </c>
      <c r="G1" s="21" t="s">
        <v>105</v>
      </c>
      <c r="H1" s="21" t="s">
        <v>95</v>
      </c>
      <c r="I1" s="21" t="s">
        <v>97</v>
      </c>
    </row>
    <row r="2" spans="1:9" ht="30" x14ac:dyDescent="0.25">
      <c r="A2" s="22" t="s">
        <v>121</v>
      </c>
      <c r="B2" s="23" t="s">
        <v>88</v>
      </c>
      <c r="C2" s="22" t="s">
        <v>123</v>
      </c>
      <c r="D2" s="154" t="s">
        <v>491</v>
      </c>
      <c r="E2" s="128" t="s">
        <v>532</v>
      </c>
      <c r="F2" s="129"/>
      <c r="G2" s="127" t="str">
        <f>IF(E2="tak","Tak",IF(E2="nie","Nie","Nie dotyczy"))</f>
        <v>Nie</v>
      </c>
      <c r="H2" s="1" t="str">
        <f>IF(E2="nie","Zalecana instalacja pętli indukcyjnej.","")</f>
        <v>Zalecana instalacja pętli indukcyjnej.</v>
      </c>
      <c r="I2" s="13" t="str">
        <f>IF(E2="tak","Tak",IF(E2="nie","Nie","Nie dotyczy"))</f>
        <v>Nie</v>
      </c>
    </row>
    <row r="3" spans="1:9" ht="45" x14ac:dyDescent="0.25">
      <c r="A3" s="24" t="s">
        <v>122</v>
      </c>
      <c r="B3" s="25" t="s">
        <v>88</v>
      </c>
      <c r="C3" s="24" t="s">
        <v>88</v>
      </c>
      <c r="D3" s="155" t="s">
        <v>492</v>
      </c>
      <c r="E3" s="172" t="s">
        <v>526</v>
      </c>
      <c r="F3" s="176"/>
      <c r="G3" s="111" t="str">
        <f t="shared" ref="G3:G4" si="0">IF(E3="tak","Tak",IF(E3="nie","Nie","Nie dotyczy"))</f>
        <v>Nie dotyczy</v>
      </c>
      <c r="H3" s="5" t="str">
        <f>IF(E3="nie","Należy zapewnić oznaczenia infromujące o pętli indukcyjnej.","")</f>
        <v/>
      </c>
      <c r="I3" s="7" t="str">
        <f t="shared" ref="I3:I4" si="1">IF(E3="tak","Tak",IF(E3="nie","Nie","Nie dotyczy"))</f>
        <v>Nie dotyczy</v>
      </c>
    </row>
    <row r="4" spans="1:9" ht="45.75" thickBot="1" x14ac:dyDescent="0.3">
      <c r="A4" s="22" t="s">
        <v>223</v>
      </c>
      <c r="B4" s="23" t="s">
        <v>88</v>
      </c>
      <c r="C4" s="22" t="s">
        <v>224</v>
      </c>
      <c r="D4" s="154" t="s">
        <v>493</v>
      </c>
      <c r="E4" s="144" t="s">
        <v>532</v>
      </c>
      <c r="F4" s="145"/>
      <c r="G4" s="127" t="str">
        <f t="shared" si="0"/>
        <v>Nie</v>
      </c>
      <c r="H4" s="1" t="str">
        <f>IF(E4="nie","Zalecane zorganizowanie dostępu do tłumacza PJM – osobistego lub online.","")</f>
        <v>Zalecane zorganizowanie dostępu do tłumacza PJM – osobistego lub online.</v>
      </c>
      <c r="I4" s="13" t="str">
        <f t="shared" si="1"/>
        <v>Nie</v>
      </c>
    </row>
  </sheetData>
  <sheetProtection sheet="1" objects="1" scenarios="1"/>
  <protectedRanges>
    <protectedRange sqref="E2:F4" name="Rozstęp1"/>
  </protectedRange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CA0689-4B7A-47FA-96D6-9206E648E80F}">
  <dimension ref="A1:I19"/>
  <sheetViews>
    <sheetView topLeftCell="A15" zoomScale="110" zoomScaleNormal="110" workbookViewId="0">
      <selection activeCell="E18" sqref="E18"/>
    </sheetView>
  </sheetViews>
  <sheetFormatPr defaultColWidth="8.85546875" defaultRowHeight="15" x14ac:dyDescent="0.25"/>
  <cols>
    <col min="1" max="1" width="22.140625" style="11" customWidth="1"/>
    <col min="2" max="2" width="33.42578125" style="11" customWidth="1"/>
    <col min="3" max="4" width="27.7109375" style="11" customWidth="1"/>
    <col min="5" max="5" width="16.42578125" style="11" customWidth="1"/>
    <col min="6" max="6" width="26.7109375" style="11" customWidth="1"/>
    <col min="7" max="7" width="17.7109375" style="12" customWidth="1"/>
    <col min="8" max="8" width="31.28515625" style="11" customWidth="1"/>
    <col min="9" max="9" width="11.140625" style="12" customWidth="1"/>
    <col min="10" max="10" width="23.85546875" style="11" customWidth="1"/>
    <col min="11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103.9" customHeight="1" x14ac:dyDescent="0.25">
      <c r="A4" s="256" t="s">
        <v>7</v>
      </c>
      <c r="B4" s="11" t="s">
        <v>157</v>
      </c>
      <c r="C4" s="232"/>
      <c r="D4" s="237" t="s">
        <v>345</v>
      </c>
      <c r="E4" s="76" t="s">
        <v>124</v>
      </c>
      <c r="F4" s="129"/>
      <c r="G4" s="234" t="str">
        <f>IF(ISBLANK(E4),"",E4)</f>
        <v>Tak</v>
      </c>
      <c r="H4" s="232" t="str">
        <f>IF(AND(E4="nie",E5="nie",E6="nie",E7="nie"),"Brak możliwości dotarcia z miejsca parkingowego do obiektu.","")</f>
        <v/>
      </c>
      <c r="I4" s="13" t="s">
        <v>145</v>
      </c>
    </row>
    <row r="5" spans="1:9" ht="95.45" customHeight="1" x14ac:dyDescent="0.25">
      <c r="A5" s="256"/>
      <c r="B5" s="232" t="s">
        <v>127</v>
      </c>
      <c r="C5" s="232"/>
      <c r="D5" s="237" t="s">
        <v>346</v>
      </c>
      <c r="E5" s="101" t="s">
        <v>145</v>
      </c>
      <c r="F5" s="105"/>
      <c r="G5" s="234" t="str">
        <f>IF(ISBLANK(E5),"",E5)</f>
        <v>Nie dotyczy</v>
      </c>
      <c r="H5" s="232" t="str">
        <f>IF(E5="Nie","Zbyt wąska rampa. Należy zwiększyć jej szerokość do minium 90 cm.","")</f>
        <v/>
      </c>
      <c r="I5" s="13" t="s">
        <v>145</v>
      </c>
    </row>
    <row r="6" spans="1:9" ht="92.45" customHeight="1" x14ac:dyDescent="0.25">
      <c r="A6" s="256"/>
      <c r="B6" s="232" t="s">
        <v>129</v>
      </c>
      <c r="C6" s="232"/>
      <c r="D6" s="237" t="s">
        <v>347</v>
      </c>
      <c r="E6" s="101" t="s">
        <v>145</v>
      </c>
      <c r="F6" s="105"/>
      <c r="G6" s="234" t="str">
        <f>IF(ISBLANK(E6),"",E6)</f>
        <v>Nie dotyczy</v>
      </c>
      <c r="H6" s="232" t="str">
        <f>IF(E6="Nie","Zbyt stroma rampa. Należy zapewnić pochylenie nie większe niż 15%","")</f>
        <v/>
      </c>
      <c r="I6" s="13" t="s">
        <v>145</v>
      </c>
    </row>
    <row r="7" spans="1:9" ht="75" x14ac:dyDescent="0.25">
      <c r="A7" s="257"/>
      <c r="B7" s="232" t="s">
        <v>128</v>
      </c>
      <c r="C7" s="232" t="s">
        <v>8</v>
      </c>
      <c r="D7" s="237" t="s">
        <v>523</v>
      </c>
      <c r="E7" s="101" t="s">
        <v>145</v>
      </c>
      <c r="F7" s="105"/>
      <c r="G7" s="234" t="str">
        <f>IF(ISBLANK(E7),"",E7)</f>
        <v>Nie dotyczy</v>
      </c>
      <c r="H7" s="232" t="str">
        <f>IF(E7="Nie","Zbyt duże przewyższenie rampy. Należy zapewnić przewyższenie nie większe niż 15 cm","")</f>
        <v/>
      </c>
      <c r="I7" s="13" t="str">
        <f>IF(ISBLANK(E7),"",E7)</f>
        <v>Nie dotyczy</v>
      </c>
    </row>
    <row r="8" spans="1:9" ht="90" x14ac:dyDescent="0.25">
      <c r="A8" s="233" t="s">
        <v>9</v>
      </c>
      <c r="B8" s="233" t="s">
        <v>10</v>
      </c>
      <c r="C8" s="233" t="s">
        <v>11</v>
      </c>
      <c r="D8" s="169" t="s">
        <v>524</v>
      </c>
      <c r="E8" s="200" t="s">
        <v>124</v>
      </c>
      <c r="F8" s="176"/>
      <c r="G8" s="235" t="s">
        <v>145</v>
      </c>
      <c r="H8" s="233"/>
      <c r="I8" s="79" t="str">
        <f>IF(ISBLANK(E8),"",E8)</f>
        <v>Tak</v>
      </c>
    </row>
    <row r="9" spans="1:9" ht="71.45" customHeight="1" x14ac:dyDescent="0.25">
      <c r="A9" s="241" t="s">
        <v>12</v>
      </c>
      <c r="B9" s="241" t="s">
        <v>13</v>
      </c>
      <c r="C9" s="241" t="s">
        <v>14</v>
      </c>
      <c r="D9" s="91" t="s">
        <v>349</v>
      </c>
      <c r="E9" s="103">
        <v>0</v>
      </c>
      <c r="F9" s="258"/>
      <c r="G9" s="260" t="str">
        <f>IF(ISBLANK(E9),"",IF(H9="Zbyt mało miejsc parkingowych. Wyznacz dodatkowe miejsca.", "Nie","Tak"))</f>
        <v>Nie</v>
      </c>
      <c r="H9" s="241" t="str">
        <f>IF(ISBLANK(E9),"",IF(E10&gt;100,IF(E9&gt;=E10*4%,"","Zbyt mało miejsc parkingowych. Wyznacz dodatkowe miejsca."),IF(AND(E10&lt;101,E10&gt;40),IF(E9&gt;=3,"","Zbyt mało miejsc parkingowych. Wyznacz dodatkowe miejsca."),IF(AND(E10&lt;41,E10&gt;15),IF(E9&gt;=2,"","Zbyt mało miejsc parkingowych. Wyznacz dodatkowe miejsca."),IF(AND(E10&lt;16,E10&gt;0),IF(E9&gt;=1,"","Zbyt mało miejsc parkingowych. Wyznacz dodatkowe miejsca."),IF(E9=0,"Zbyt mało miejsc parkingowych. Wyznacz dodatkowe miejsca.",""))))))</f>
        <v>Zbyt mało miejsc parkingowych. Wyznacz dodatkowe miejsca.</v>
      </c>
      <c r="I9" s="254" t="str">
        <f>G9</f>
        <v>Nie</v>
      </c>
    </row>
    <row r="10" spans="1:9" ht="92.45" customHeight="1" x14ac:dyDescent="0.25">
      <c r="A10" s="243"/>
      <c r="B10" s="243"/>
      <c r="C10" s="243"/>
      <c r="D10" s="93" t="s">
        <v>348</v>
      </c>
      <c r="E10" s="103">
        <v>12</v>
      </c>
      <c r="F10" s="259"/>
      <c r="G10" s="261"/>
      <c r="H10" s="243"/>
      <c r="I10" s="255"/>
    </row>
    <row r="11" spans="1:9" ht="60" x14ac:dyDescent="0.25">
      <c r="A11" s="244" t="s">
        <v>15</v>
      </c>
      <c r="B11" s="233" t="s">
        <v>108</v>
      </c>
      <c r="C11" s="233" t="s">
        <v>108</v>
      </c>
      <c r="D11" s="94" t="s">
        <v>521</v>
      </c>
      <c r="E11" s="172" t="s">
        <v>526</v>
      </c>
      <c r="F11" s="176"/>
      <c r="G11" s="235" t="str">
        <f>IF(ISBLANK(E11),"",IF(ISTEXT(E11),E11,IF(E11&lt;600,"Nie","Tak")))</f>
        <v>nie dotyczy</v>
      </c>
      <c r="H11" s="14" t="str">
        <f>IF(ISBLANK(E11),"",IF(E11&lt;600,"Za mała długość miejsca parkingowego. Należy zapewnić niminum 6 m długości.",""))</f>
        <v/>
      </c>
      <c r="I11" s="79" t="str">
        <f>G11</f>
        <v>nie dotyczy</v>
      </c>
    </row>
    <row r="12" spans="1:9" ht="45" x14ac:dyDescent="0.25">
      <c r="A12" s="245"/>
      <c r="B12" s="233" t="s">
        <v>109</v>
      </c>
      <c r="C12" s="233" t="s">
        <v>109</v>
      </c>
      <c r="D12" s="94" t="s">
        <v>351</v>
      </c>
      <c r="E12" s="172" t="s">
        <v>526</v>
      </c>
      <c r="F12" s="176"/>
      <c r="G12" s="235" t="str">
        <f>IF(ISBLANK(E12),"",IF(ISTEXT(E12),E12,IF(E12&lt;501,"Nie","Tak")))</f>
        <v>nie dotyczy</v>
      </c>
      <c r="H12" s="14" t="str">
        <f>IF(ISBLANK(E12),"",IF(E12&lt;500,"Za mała długość miejsca parkingowego. Należy zapewnić niminum 5 m długości.",""))</f>
        <v/>
      </c>
      <c r="I12" s="79" t="str">
        <f>G12</f>
        <v>nie dotyczy</v>
      </c>
    </row>
    <row r="13" spans="1:9" ht="76.150000000000006" customHeight="1" x14ac:dyDescent="0.25">
      <c r="A13" s="245"/>
      <c r="B13" s="233" t="s">
        <v>110</v>
      </c>
      <c r="C13" s="233" t="s">
        <v>110</v>
      </c>
      <c r="D13" s="94" t="s">
        <v>381</v>
      </c>
      <c r="E13" s="172" t="s">
        <v>526</v>
      </c>
      <c r="F13" s="176"/>
      <c r="G13" s="235" t="str">
        <f>IF(ISBLANK(E13),"",IF(ISTEXT(E13),E13,IF(E13&lt;361,"Nie","Tak")))</f>
        <v>nie dotyczy</v>
      </c>
      <c r="H13" s="14" t="str">
        <f>IF(ISBLANK(E13),"",IF(E13&lt;360,"Za mała szerokość miejsca parkingowego. Należy zapewnić niminum 3,6 m szerokości",""))</f>
        <v/>
      </c>
      <c r="I13" s="79" t="str">
        <f t="shared" ref="I13" si="0">G13</f>
        <v>nie dotyczy</v>
      </c>
    </row>
    <row r="14" spans="1:9" ht="157.15" customHeight="1" x14ac:dyDescent="0.25">
      <c r="A14" s="245"/>
      <c r="B14" s="233" t="s">
        <v>142</v>
      </c>
      <c r="C14" s="233" t="s">
        <v>111</v>
      </c>
      <c r="D14" s="48" t="s">
        <v>508</v>
      </c>
      <c r="E14" s="172" t="s">
        <v>145</v>
      </c>
      <c r="F14" s="176"/>
      <c r="G14" s="235" t="str">
        <f t="shared" ref="G14:G19" si="1">IF(ISBLANK(E14),"",E14)</f>
        <v>Nie dotyczy</v>
      </c>
      <c r="H14" s="233" t="str">
        <f>IF(E14="Nie","Należy zapewnić właściwe parametry miejsca parkingowego","")</f>
        <v/>
      </c>
      <c r="I14" s="79" t="str">
        <f t="shared" ref="I14:I19" si="2">IF(ISBLANK(E14),"",E14)</f>
        <v>Nie dotyczy</v>
      </c>
    </row>
    <row r="15" spans="1:9" ht="156" customHeight="1" x14ac:dyDescent="0.25">
      <c r="A15" s="245"/>
      <c r="B15" s="233" t="s">
        <v>112</v>
      </c>
      <c r="C15" s="233" t="s">
        <v>112</v>
      </c>
      <c r="D15" s="236" t="s">
        <v>509</v>
      </c>
      <c r="E15" s="200" t="s">
        <v>145</v>
      </c>
      <c r="F15" s="176"/>
      <c r="G15" s="235" t="str">
        <f t="shared" si="1"/>
        <v>Nie dotyczy</v>
      </c>
      <c r="H15" s="233" t="str">
        <f>IF(E15="Nie","Należy zapewnić właściwe parametry nawierzchni miejsca parkingowego","")</f>
        <v/>
      </c>
      <c r="I15" s="79" t="str">
        <f t="shared" si="2"/>
        <v>Nie dotyczy</v>
      </c>
    </row>
    <row r="16" spans="1:9" ht="30" x14ac:dyDescent="0.25">
      <c r="A16" s="245"/>
      <c r="B16" s="233" t="s">
        <v>113</v>
      </c>
      <c r="C16" s="233" t="s">
        <v>113</v>
      </c>
      <c r="D16" s="251" t="s">
        <v>352</v>
      </c>
      <c r="E16" s="200" t="s">
        <v>145</v>
      </c>
      <c r="F16" s="176"/>
      <c r="G16" s="235" t="str">
        <f t="shared" si="1"/>
        <v>Nie dotyczy</v>
      </c>
      <c r="H16" s="233" t="str">
        <f>IF(E16="Nie","Należy zapewnić właściwe oznaczenia miejsca parkingowego","")</f>
        <v/>
      </c>
      <c r="I16" s="79" t="str">
        <f t="shared" si="2"/>
        <v>Nie dotyczy</v>
      </c>
    </row>
    <row r="17" spans="1:9" ht="45" x14ac:dyDescent="0.25">
      <c r="A17" s="245"/>
      <c r="B17" s="233" t="s">
        <v>114</v>
      </c>
      <c r="C17" s="233" t="s">
        <v>114</v>
      </c>
      <c r="D17" s="252"/>
      <c r="E17" s="200"/>
      <c r="F17" s="176"/>
      <c r="G17" s="235" t="str">
        <f t="shared" si="1"/>
        <v/>
      </c>
      <c r="H17" s="233" t="str">
        <f t="shared" ref="H17:H19" si="3">IF(E17="Nie","Należy zapewnić właściwe oznaczenia miejsca parkingowego","")</f>
        <v/>
      </c>
      <c r="I17" s="79" t="str">
        <f t="shared" si="2"/>
        <v/>
      </c>
    </row>
    <row r="18" spans="1:9" ht="30" x14ac:dyDescent="0.25">
      <c r="A18" s="245"/>
      <c r="B18" s="233" t="s">
        <v>115</v>
      </c>
      <c r="C18" s="233" t="s">
        <v>115</v>
      </c>
      <c r="D18" s="252"/>
      <c r="E18" s="200" t="s">
        <v>145</v>
      </c>
      <c r="F18" s="176"/>
      <c r="G18" s="235" t="str">
        <f t="shared" si="1"/>
        <v>Nie dotyczy</v>
      </c>
      <c r="H18" s="233" t="str">
        <f t="shared" si="3"/>
        <v/>
      </c>
      <c r="I18" s="79" t="str">
        <f t="shared" si="2"/>
        <v>Nie dotyczy</v>
      </c>
    </row>
    <row r="19" spans="1:9" ht="30.75" thickBot="1" x14ac:dyDescent="0.3">
      <c r="A19" s="246"/>
      <c r="B19" s="233" t="s">
        <v>116</v>
      </c>
      <c r="C19" s="233" t="s">
        <v>116</v>
      </c>
      <c r="D19" s="253"/>
      <c r="E19" s="201" t="s">
        <v>145</v>
      </c>
      <c r="F19" s="175"/>
      <c r="G19" s="235" t="str">
        <f t="shared" si="1"/>
        <v>Nie dotyczy</v>
      </c>
      <c r="H19" s="233" t="str">
        <f t="shared" si="3"/>
        <v/>
      </c>
      <c r="I19" s="79" t="str">
        <f t="shared" si="2"/>
        <v>Nie dotyczy</v>
      </c>
    </row>
  </sheetData>
  <sheetProtection sheet="1" objects="1" scenarios="1"/>
  <protectedRanges>
    <protectedRange sqref="E4:F19" name="Rozstęp1"/>
  </protectedRanges>
  <mergeCells count="13">
    <mergeCell ref="I9:I10"/>
    <mergeCell ref="A11:A19"/>
    <mergeCell ref="D16:D19"/>
    <mergeCell ref="B1:I1"/>
    <mergeCell ref="A2:D2"/>
    <mergeCell ref="E2:I2"/>
    <mergeCell ref="A4:A7"/>
    <mergeCell ref="A9:A10"/>
    <mergeCell ref="B9:B10"/>
    <mergeCell ref="C9:C10"/>
    <mergeCell ref="F9:F10"/>
    <mergeCell ref="G9:G10"/>
    <mergeCell ref="H9:H10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E573447-30BE-4DCD-8A91-EBE545BA0C74}">
          <x14:formula1>
            <xm:f>'Dane do list rozwijanych'!$A$8:$A$9</xm:f>
          </x14:formula1>
          <xm:sqref>E2:I2</xm:sqref>
        </x14:dataValidation>
        <x14:dataValidation type="list" allowBlank="1" showInputMessage="1" showErrorMessage="1" xr:uid="{3C55BA8C-2322-4569-A76B-9ABF310AE2A2}">
          <x14:formula1>
            <xm:f>'Dane do list rozwijanych'!$A$2:$A$4</xm:f>
          </x14:formula1>
          <xm:sqref>E4:E8 E14:E19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4"/>
  <sheetViews>
    <sheetView zoomScale="148" zoomScaleNormal="148" workbookViewId="0">
      <selection activeCell="E15" sqref="E15"/>
    </sheetView>
  </sheetViews>
  <sheetFormatPr defaultColWidth="8.85546875" defaultRowHeight="15" x14ac:dyDescent="0.25"/>
  <cols>
    <col min="1" max="1" width="15" style="11" customWidth="1"/>
    <col min="2" max="2" width="14" style="11" customWidth="1"/>
    <col min="3" max="4" width="15.28515625" style="11" customWidth="1"/>
    <col min="5" max="6" width="13.28515625" style="11" customWidth="1"/>
    <col min="7" max="7" width="18" style="12" customWidth="1"/>
    <col min="8" max="8" width="16" style="11" customWidth="1"/>
    <col min="9" max="9" width="14.28515625" style="12" customWidth="1"/>
    <col min="10" max="10" width="29.5703125" style="11" customWidth="1"/>
    <col min="11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45.75" thickBot="1" x14ac:dyDescent="0.3">
      <c r="A3" s="2" t="s">
        <v>0</v>
      </c>
      <c r="B3" s="2" t="s">
        <v>94</v>
      </c>
      <c r="C3" s="2" t="s">
        <v>1</v>
      </c>
      <c r="D3" s="8" t="s">
        <v>344</v>
      </c>
      <c r="E3" s="75" t="s">
        <v>106</v>
      </c>
      <c r="F3" s="75" t="s">
        <v>126</v>
      </c>
      <c r="G3" s="2" t="s">
        <v>96</v>
      </c>
      <c r="H3" s="2" t="s">
        <v>95</v>
      </c>
      <c r="I3" s="2" t="s">
        <v>97</v>
      </c>
    </row>
    <row r="4" spans="1:9" ht="165" x14ac:dyDescent="0.25">
      <c r="A4" s="37" t="s">
        <v>175</v>
      </c>
      <c r="B4" s="36"/>
      <c r="C4" s="36" t="s">
        <v>176</v>
      </c>
      <c r="D4" s="124" t="s">
        <v>518</v>
      </c>
      <c r="E4" s="128" t="s">
        <v>551</v>
      </c>
      <c r="F4" s="129" t="s">
        <v>550</v>
      </c>
      <c r="G4" s="126" t="s">
        <v>145</v>
      </c>
      <c r="H4" s="13"/>
      <c r="I4" s="13" t="str">
        <f>IF(E4="","",IF(OR(VALUE(RIGHT(E4,RIGHT(LEN(E4)-FIND("/",E4))))&lt;150,VALUE(LEFT(E4,FIND("/",E4)-1))&lt;150),"Nie","Tak"))</f>
        <v>Nie</v>
      </c>
    </row>
    <row r="5" spans="1:9" ht="86.45" customHeight="1" x14ac:dyDescent="0.25">
      <c r="A5" s="5" t="s">
        <v>315</v>
      </c>
      <c r="B5" s="5"/>
      <c r="C5" s="5" t="s">
        <v>177</v>
      </c>
      <c r="D5" s="272" t="s">
        <v>513</v>
      </c>
      <c r="E5" s="172">
        <v>40</v>
      </c>
      <c r="F5" s="176"/>
      <c r="G5" s="111" t="s">
        <v>145</v>
      </c>
      <c r="H5" s="5"/>
      <c r="I5" s="7" t="str">
        <f>IF(E5="","",IF(E5="nie dotyczy",E5,IF(OR(E5&lt;45,E5&gt;48),"Nie","Tak")))</f>
        <v>Nie</v>
      </c>
    </row>
    <row r="6" spans="1:9" ht="45" x14ac:dyDescent="0.25">
      <c r="A6" s="5"/>
      <c r="B6" s="5"/>
      <c r="C6" s="5" t="s">
        <v>178</v>
      </c>
      <c r="D6" s="273"/>
      <c r="E6" s="172">
        <v>122</v>
      </c>
      <c r="F6" s="176"/>
      <c r="G6" s="111" t="s">
        <v>145</v>
      </c>
      <c r="H6" s="5"/>
      <c r="I6" s="7" t="str">
        <f>IF(E6="","",IF(E6="nie dotyczy",E6,IF(E6&gt;49,"Tak","Nie")))</f>
        <v>Tak</v>
      </c>
    </row>
    <row r="7" spans="1:9" ht="45" x14ac:dyDescent="0.25">
      <c r="A7" s="5"/>
      <c r="B7" s="5"/>
      <c r="C7" s="5" t="s">
        <v>179</v>
      </c>
      <c r="D7" s="274"/>
      <c r="E7" s="172">
        <v>36</v>
      </c>
      <c r="F7" s="176"/>
      <c r="G7" s="111" t="s">
        <v>145</v>
      </c>
      <c r="H7" s="5"/>
      <c r="I7" s="7" t="str">
        <f>IF(E7="","",IF(E7="nie dotyczy",E7,IF(E7&gt;44,"Tak","Nie")))</f>
        <v>Nie</v>
      </c>
    </row>
    <row r="8" spans="1:9" ht="72" customHeight="1" x14ac:dyDescent="0.25">
      <c r="A8" s="263" t="s">
        <v>180</v>
      </c>
      <c r="B8" s="36"/>
      <c r="C8" s="36" t="s">
        <v>181</v>
      </c>
      <c r="D8" s="275" t="s">
        <v>517</v>
      </c>
      <c r="E8" s="130">
        <v>152</v>
      </c>
      <c r="F8" s="131"/>
      <c r="G8" s="126" t="s">
        <v>145</v>
      </c>
      <c r="H8" s="13"/>
      <c r="I8" s="13" t="str">
        <f>IF(E8="","",IF(E8="nie",E8,IF(E8=110,"Tak","Nie")))</f>
        <v>Nie</v>
      </c>
    </row>
    <row r="9" spans="1:9" x14ac:dyDescent="0.25">
      <c r="A9" s="257"/>
      <c r="B9" s="36"/>
      <c r="C9" s="36" t="s">
        <v>182</v>
      </c>
      <c r="D9" s="276"/>
      <c r="E9" s="130">
        <v>162</v>
      </c>
      <c r="F9" s="131"/>
      <c r="G9" s="126" t="s">
        <v>145</v>
      </c>
      <c r="H9" s="13"/>
      <c r="I9" s="13" t="str">
        <f>IF(E9="","",IF(E9="nie",E9,IF(E9=180,"Tak","Nie")))</f>
        <v>Nie</v>
      </c>
    </row>
    <row r="10" spans="1:9" ht="30" x14ac:dyDescent="0.25">
      <c r="A10" s="5" t="s">
        <v>183</v>
      </c>
      <c r="B10" s="5"/>
      <c r="C10" s="5" t="s">
        <v>328</v>
      </c>
      <c r="D10" s="94" t="s">
        <v>494</v>
      </c>
      <c r="E10" s="172" t="s">
        <v>125</v>
      </c>
      <c r="F10" s="176"/>
      <c r="G10" s="111" t="s">
        <v>145</v>
      </c>
      <c r="H10" s="5"/>
      <c r="I10" s="7" t="str">
        <f>IF(E10="","",E10)</f>
        <v>Nie</v>
      </c>
    </row>
    <row r="11" spans="1:9" ht="28.9" customHeight="1" x14ac:dyDescent="0.25">
      <c r="A11" s="1" t="s">
        <v>307</v>
      </c>
      <c r="B11" s="1"/>
      <c r="C11" s="1" t="s">
        <v>308</v>
      </c>
      <c r="D11" s="125" t="s">
        <v>495</v>
      </c>
      <c r="E11" s="132" t="s">
        <v>145</v>
      </c>
      <c r="F11" s="105"/>
      <c r="G11" s="127" t="s">
        <v>145</v>
      </c>
      <c r="H11" s="1"/>
      <c r="I11" s="13" t="str">
        <f>IF(E11="","",E11)</f>
        <v>Nie dotyczy</v>
      </c>
    </row>
    <row r="12" spans="1:9" ht="30" customHeight="1" x14ac:dyDescent="0.25">
      <c r="A12" s="5" t="s">
        <v>309</v>
      </c>
      <c r="B12" s="5"/>
      <c r="C12" s="5"/>
      <c r="D12" s="94" t="s">
        <v>496</v>
      </c>
      <c r="E12" s="172" t="s">
        <v>124</v>
      </c>
      <c r="F12" s="176" t="s">
        <v>552</v>
      </c>
      <c r="G12" s="111" t="s">
        <v>145</v>
      </c>
      <c r="H12" s="5"/>
      <c r="I12" s="7" t="s">
        <v>145</v>
      </c>
    </row>
    <row r="13" spans="1:9" ht="34.9" customHeight="1" x14ac:dyDescent="0.25">
      <c r="A13" s="1" t="s">
        <v>310</v>
      </c>
      <c r="B13" s="1"/>
      <c r="C13" s="1"/>
      <c r="D13" s="125" t="s">
        <v>497</v>
      </c>
      <c r="E13" s="132" t="s">
        <v>125</v>
      </c>
      <c r="F13" s="105"/>
      <c r="G13" s="127" t="s">
        <v>145</v>
      </c>
      <c r="H13" s="1"/>
      <c r="I13" s="13" t="s">
        <v>145</v>
      </c>
    </row>
    <row r="14" spans="1:9" ht="40.9" customHeight="1" thickBot="1" x14ac:dyDescent="0.3">
      <c r="A14" s="5" t="s">
        <v>311</v>
      </c>
      <c r="B14" s="5"/>
      <c r="C14" s="5"/>
      <c r="D14" s="94" t="s">
        <v>498</v>
      </c>
      <c r="E14" s="174" t="s">
        <v>124</v>
      </c>
      <c r="F14" s="175"/>
      <c r="G14" s="111" t="s">
        <v>145</v>
      </c>
      <c r="H14" s="5"/>
      <c r="I14" s="7" t="s">
        <v>145</v>
      </c>
    </row>
  </sheetData>
  <sheetProtection sheet="1" objects="1" scenarios="1"/>
  <protectedRanges>
    <protectedRange sqref="E4:F14" name="Rozstęp1"/>
  </protectedRanges>
  <mergeCells count="6">
    <mergeCell ref="A8:A9"/>
    <mergeCell ref="B1:I1"/>
    <mergeCell ref="A2:D2"/>
    <mergeCell ref="E2:I2"/>
    <mergeCell ref="D5:D7"/>
    <mergeCell ref="D8:D9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0000000}">
          <x14:formula1>
            <xm:f>'Dane do list rozwijanych'!$A$8:$A$9</xm:f>
          </x14:formula1>
          <xm:sqref>E10 E2:I2</xm:sqref>
        </x14:dataValidation>
        <x14:dataValidation type="list" allowBlank="1" showInputMessage="1" showErrorMessage="1" xr:uid="{00000000-0002-0000-0E00-000001000000}">
          <x14:formula1>
            <xm:f>'Dane do list rozwijanych'!$A$2:$A$4</xm:f>
          </x14:formula1>
          <xm:sqref>E11:E14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17"/>
  <sheetViews>
    <sheetView topLeftCell="A9" zoomScale="95" zoomScaleNormal="95" workbookViewId="0">
      <selection activeCell="E17" sqref="E17"/>
    </sheetView>
  </sheetViews>
  <sheetFormatPr defaultColWidth="8.85546875" defaultRowHeight="15" x14ac:dyDescent="0.25"/>
  <cols>
    <col min="1" max="1" width="21.28515625" style="11" customWidth="1"/>
    <col min="2" max="2" width="24.7109375" style="11" customWidth="1"/>
    <col min="3" max="4" width="25.140625" style="11" customWidth="1"/>
    <col min="5" max="6" width="21.42578125" style="11" customWidth="1"/>
    <col min="7" max="7" width="18" style="12" customWidth="1"/>
    <col min="8" max="8" width="16" style="11" customWidth="1"/>
    <col min="9" max="9" width="14.28515625" style="12" customWidth="1"/>
    <col min="10" max="10" width="22.28515625" style="11" customWidth="1"/>
    <col min="11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thickBot="1" x14ac:dyDescent="0.3">
      <c r="A2" s="248" t="s">
        <v>343</v>
      </c>
      <c r="B2" s="248"/>
      <c r="C2" s="248"/>
      <c r="D2" s="248"/>
      <c r="E2" s="249" t="s">
        <v>125</v>
      </c>
      <c r="F2" s="249"/>
      <c r="G2" s="250"/>
      <c r="H2" s="250"/>
      <c r="I2" s="250"/>
    </row>
    <row r="3" spans="1:9" ht="45" x14ac:dyDescent="0.25">
      <c r="A3" s="2" t="s">
        <v>0</v>
      </c>
      <c r="B3" s="2" t="s">
        <v>94</v>
      </c>
      <c r="C3" s="2" t="s">
        <v>1</v>
      </c>
      <c r="D3" s="182" t="s">
        <v>344</v>
      </c>
      <c r="E3" s="99" t="s">
        <v>106</v>
      </c>
      <c r="F3" s="112" t="s">
        <v>126</v>
      </c>
      <c r="G3" s="97" t="s">
        <v>96</v>
      </c>
      <c r="H3" s="2" t="s">
        <v>95</v>
      </c>
      <c r="I3" s="2" t="s">
        <v>97</v>
      </c>
    </row>
    <row r="4" spans="1:9" ht="111.6" customHeight="1" x14ac:dyDescent="0.25">
      <c r="A4" s="277" t="s">
        <v>184</v>
      </c>
      <c r="B4" s="177" t="s">
        <v>185</v>
      </c>
      <c r="C4" s="177" t="s">
        <v>185</v>
      </c>
      <c r="D4" s="183" t="s">
        <v>501</v>
      </c>
      <c r="E4" s="194">
        <v>90</v>
      </c>
      <c r="F4" s="195" t="s">
        <v>553</v>
      </c>
      <c r="G4" s="184" t="str">
        <f>IF(E4="","",IF(E4="nie dotyczy",E4,IF(E4&gt;0.89,"Tak","Nie")))</f>
        <v>Tak</v>
      </c>
      <c r="H4" s="178" t="str">
        <f>IF(G4="nie","Zbyt mała powierzchnia kabiny. Należy zapewnić właściwą wielkość kabiny.","")</f>
        <v/>
      </c>
      <c r="I4" s="179" t="str">
        <f>G4</f>
        <v>Tak</v>
      </c>
    </row>
    <row r="5" spans="1:9" ht="106.15" customHeight="1" x14ac:dyDescent="0.25">
      <c r="A5" s="277"/>
      <c r="B5" s="177" t="s">
        <v>186</v>
      </c>
      <c r="C5" s="177" t="s">
        <v>186</v>
      </c>
      <c r="D5" s="183" t="s">
        <v>500</v>
      </c>
      <c r="E5" s="194">
        <v>202</v>
      </c>
      <c r="F5" s="195"/>
      <c r="G5" s="184" t="str">
        <f>IF(E5="","",IF(E5="nie dotyczy",E5,IF(E5&gt;89,"Tak","Nie")))</f>
        <v>Tak</v>
      </c>
      <c r="H5" s="178" t="str">
        <f>IF(G5="nie","Zbyt mała szerokość kabiny. Należy zapewnić właściwą wielkość kabiny.","")</f>
        <v/>
      </c>
      <c r="I5" s="179" t="str">
        <f t="shared" ref="I5:I9" si="0">G5</f>
        <v>Tak</v>
      </c>
    </row>
    <row r="6" spans="1:9" ht="81.599999999999994" customHeight="1" x14ac:dyDescent="0.25">
      <c r="A6" s="277"/>
      <c r="B6" s="3" t="s">
        <v>187</v>
      </c>
      <c r="C6" s="3" t="s">
        <v>187</v>
      </c>
      <c r="D6" s="95" t="s">
        <v>501</v>
      </c>
      <c r="E6" s="186" t="s">
        <v>526</v>
      </c>
      <c r="F6" s="187"/>
      <c r="G6" s="109" t="str">
        <f>IF(E6="","",IF(E6="nie dotyczy",E6,IF(E6&gt;1.4,"Tak","Nie")))</f>
        <v>nie dotyczy</v>
      </c>
      <c r="H6" s="63" t="str">
        <f t="shared" ref="H6:H8" si="1">IF(G6="nie","Zbyt mała powierzchnia kabiny. Należy zapewnić właściwą wielkość kabiny.","")</f>
        <v/>
      </c>
      <c r="I6" s="4" t="str">
        <f t="shared" si="0"/>
        <v>nie dotyczy</v>
      </c>
    </row>
    <row r="7" spans="1:9" ht="94.9" customHeight="1" x14ac:dyDescent="0.25">
      <c r="A7" s="277"/>
      <c r="B7" s="73" t="s">
        <v>312</v>
      </c>
      <c r="C7" s="73" t="s">
        <v>188</v>
      </c>
      <c r="D7" s="163" t="s">
        <v>500</v>
      </c>
      <c r="E7" s="188" t="s">
        <v>526</v>
      </c>
      <c r="F7" s="189"/>
      <c r="G7" s="185" t="str">
        <f>IF(E7="","",IF(E7="nie dotyczy",E7,IF(E7&gt;89,"Tak","Nie")))</f>
        <v>nie dotyczy</v>
      </c>
      <c r="H7" s="180" t="str">
        <f>IF(G7="nie","Zbyt mała szerokość kabiny. Należy zapewnić właściwą wielkość kabiny.","")</f>
        <v/>
      </c>
      <c r="I7" s="181" t="str">
        <f t="shared" si="0"/>
        <v>nie dotyczy</v>
      </c>
    </row>
    <row r="8" spans="1:9" ht="121.9" customHeight="1" x14ac:dyDescent="0.25">
      <c r="A8" s="277"/>
      <c r="B8" s="164" t="s">
        <v>189</v>
      </c>
      <c r="C8" s="164" t="s">
        <v>189</v>
      </c>
      <c r="D8" s="94" t="s">
        <v>501</v>
      </c>
      <c r="E8" s="190" t="s">
        <v>526</v>
      </c>
      <c r="F8" s="191"/>
      <c r="G8" s="166" t="str">
        <f>IF(E8="","",IF(E8="nie dotyczy",E8,IF(E8&gt;2.49,"Tak","Nie")))</f>
        <v>nie dotyczy</v>
      </c>
      <c r="H8" s="61" t="str">
        <f t="shared" si="1"/>
        <v/>
      </c>
      <c r="I8" s="79" t="str">
        <f t="shared" si="0"/>
        <v>nie dotyczy</v>
      </c>
    </row>
    <row r="9" spans="1:9" ht="124.15" customHeight="1" x14ac:dyDescent="0.25">
      <c r="A9" s="277"/>
      <c r="B9" s="164" t="s">
        <v>219</v>
      </c>
      <c r="C9" s="164" t="s">
        <v>190</v>
      </c>
      <c r="D9" s="94" t="s">
        <v>500</v>
      </c>
      <c r="E9" s="190" t="s">
        <v>526</v>
      </c>
      <c r="F9" s="191"/>
      <c r="G9" s="166" t="str">
        <f>IF(E9="","",IF(E9="nie dotyczy",E9,IF(E9&gt;89,"Tak","Nie")))</f>
        <v>nie dotyczy</v>
      </c>
      <c r="H9" s="61" t="str">
        <f>IF(G9="nie","Zbyt mała szerokość kabiny. Należy zapewnić właściwą wielkość kabiny.","")</f>
        <v/>
      </c>
      <c r="I9" s="79" t="str">
        <f t="shared" si="0"/>
        <v>nie dotyczy</v>
      </c>
    </row>
    <row r="10" spans="1:9" ht="54.6" customHeight="1" x14ac:dyDescent="0.25">
      <c r="A10" s="3" t="s">
        <v>313</v>
      </c>
      <c r="B10" s="3"/>
      <c r="C10" s="3" t="s">
        <v>314</v>
      </c>
      <c r="D10" s="95" t="s">
        <v>499</v>
      </c>
      <c r="E10" s="186" t="s">
        <v>124</v>
      </c>
      <c r="F10" s="187" t="s">
        <v>554</v>
      </c>
      <c r="G10" s="109" t="s">
        <v>145</v>
      </c>
      <c r="H10" s="63"/>
      <c r="I10" s="4" t="str">
        <f>IF(E10="","",E10)</f>
        <v>Tak</v>
      </c>
    </row>
    <row r="11" spans="1:9" ht="60" x14ac:dyDescent="0.25">
      <c r="A11" s="164" t="s">
        <v>191</v>
      </c>
      <c r="B11" s="164"/>
      <c r="C11" s="164" t="s">
        <v>176</v>
      </c>
      <c r="D11" s="94" t="s">
        <v>512</v>
      </c>
      <c r="E11" s="190" t="s">
        <v>555</v>
      </c>
      <c r="F11" s="191"/>
      <c r="G11" s="166" t="s">
        <v>145</v>
      </c>
      <c r="H11" s="61"/>
      <c r="I11" s="79" t="e">
        <f>IF(E11="","",IF(OR(VALUE(RIGHT(E11,RIGHT(LEN(E11)-FIND("/",E11))))&lt;150,VALUE(LEFT(E11,FIND("/",E11)-1))&lt;150),"Nie","Tak"))</f>
        <v>#VALUE!</v>
      </c>
    </row>
    <row r="12" spans="1:9" ht="57.6" customHeight="1" x14ac:dyDescent="0.25">
      <c r="A12" s="277" t="s">
        <v>315</v>
      </c>
      <c r="B12" s="3"/>
      <c r="C12" s="3" t="s">
        <v>177</v>
      </c>
      <c r="D12" s="278" t="s">
        <v>513</v>
      </c>
      <c r="E12" s="186" t="s">
        <v>556</v>
      </c>
      <c r="F12" s="187"/>
      <c r="G12" s="109" t="s">
        <v>145</v>
      </c>
      <c r="H12" s="63"/>
      <c r="I12" s="4" t="str">
        <f>IF(E11="","",IF(E12="nie dotyczy",E12,IF(OR(E12&lt;45,E12&gt;48),"Nie","Tak")))</f>
        <v>Nie</v>
      </c>
    </row>
    <row r="13" spans="1:9" x14ac:dyDescent="0.25">
      <c r="A13" s="264"/>
      <c r="B13" s="3"/>
      <c r="C13" s="3" t="s">
        <v>178</v>
      </c>
      <c r="D13" s="278"/>
      <c r="E13" s="186" t="s">
        <v>556</v>
      </c>
      <c r="F13" s="187"/>
      <c r="G13" s="109" t="s">
        <v>145</v>
      </c>
      <c r="H13" s="63"/>
      <c r="I13" s="4" t="str">
        <f>IF(E13="","",IF(E13="nie dotyczy",E13,IF(E13&gt;49,"Tak","Nie")))</f>
        <v>Tak</v>
      </c>
    </row>
    <row r="14" spans="1:9" x14ac:dyDescent="0.25">
      <c r="A14" s="264"/>
      <c r="B14" s="3"/>
      <c r="C14" s="3" t="s">
        <v>179</v>
      </c>
      <c r="D14" s="278"/>
      <c r="E14" s="186" t="s">
        <v>556</v>
      </c>
      <c r="F14" s="187"/>
      <c r="G14" s="109" t="s">
        <v>145</v>
      </c>
      <c r="H14" s="63"/>
      <c r="I14" s="4" t="str">
        <f>IF(E14="","",IF(E14="nie dotyczy",E14,IF(E14&gt;44,"Tak","Nie")))</f>
        <v>Tak</v>
      </c>
    </row>
    <row r="15" spans="1:9" ht="30" x14ac:dyDescent="0.25">
      <c r="A15" s="164" t="s">
        <v>192</v>
      </c>
      <c r="B15" s="164"/>
      <c r="C15" s="164" t="s">
        <v>193</v>
      </c>
      <c r="D15" s="94" t="s">
        <v>514</v>
      </c>
      <c r="E15" s="190" t="s">
        <v>145</v>
      </c>
      <c r="F15" s="191"/>
      <c r="G15" s="166" t="s">
        <v>145</v>
      </c>
      <c r="H15" s="61"/>
      <c r="I15" s="79" t="str">
        <f>IF(E15="","",E15)</f>
        <v>Nie dotyczy</v>
      </c>
    </row>
    <row r="16" spans="1:9" ht="45" x14ac:dyDescent="0.25">
      <c r="A16" s="3" t="s">
        <v>194</v>
      </c>
      <c r="B16" s="3"/>
      <c r="C16" s="3" t="s">
        <v>195</v>
      </c>
      <c r="D16" s="95" t="s">
        <v>515</v>
      </c>
      <c r="E16" s="186" t="s">
        <v>556</v>
      </c>
      <c r="F16" s="187"/>
      <c r="G16" s="109" t="s">
        <v>145</v>
      </c>
      <c r="H16" s="63"/>
      <c r="I16" s="4" t="str">
        <f>IF(E16="","",IF(E16="nie dotyczy",E16,IF(OR(E16&lt;80,E16&gt;110),"Nie","Tak")))</f>
        <v>Nie</v>
      </c>
    </row>
    <row r="17" spans="1:9" ht="60.75" thickBot="1" x14ac:dyDescent="0.3">
      <c r="A17" s="164" t="s">
        <v>196</v>
      </c>
      <c r="B17" s="164"/>
      <c r="C17" s="164" t="s">
        <v>195</v>
      </c>
      <c r="D17" s="94" t="s">
        <v>516</v>
      </c>
      <c r="E17" s="192" t="s">
        <v>556</v>
      </c>
      <c r="F17" s="193"/>
      <c r="G17" s="166" t="s">
        <v>145</v>
      </c>
      <c r="H17" s="61"/>
      <c r="I17" s="79" t="str">
        <f>IF(E17="","",IF(E17="nie dotyczy",E17,IF(OR(E17&lt;80,E17&gt;110),"Nie","Tak")))</f>
        <v>Nie</v>
      </c>
    </row>
  </sheetData>
  <sheetProtection sheet="1" objects="1" scenarios="1"/>
  <protectedRanges>
    <protectedRange sqref="E4:F17" name="Rozstęp1"/>
  </protectedRanges>
  <mergeCells count="6">
    <mergeCell ref="A4:A9"/>
    <mergeCell ref="A12:A14"/>
    <mergeCell ref="B1:I1"/>
    <mergeCell ref="A2:D2"/>
    <mergeCell ref="E2:I2"/>
    <mergeCell ref="D12:D14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0000000}">
          <x14:formula1>
            <xm:f>'Dane do list rozwijanych'!$A$8:$A$9</xm:f>
          </x14:formula1>
          <xm:sqref>E10 E2:I2</xm:sqref>
        </x14:dataValidation>
        <x14:dataValidation type="list" allowBlank="1" showInputMessage="1" showErrorMessage="1" xr:uid="{00000000-0002-0000-0F00-000001000000}">
          <x14:formula1>
            <xm:f>'Dane do list rozwijanych'!$A$2:$A$4</xm:f>
          </x14:formula1>
          <xm:sqref>E15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8"/>
  <sheetViews>
    <sheetView zoomScaleNormal="100" workbookViewId="0">
      <selection activeCell="A3" sqref="A3"/>
    </sheetView>
  </sheetViews>
  <sheetFormatPr defaultColWidth="8.85546875" defaultRowHeight="15" x14ac:dyDescent="0.25"/>
  <cols>
    <col min="1" max="1" width="21.28515625" style="11" customWidth="1"/>
    <col min="2" max="2" width="15.7109375" style="11" customWidth="1"/>
    <col min="3" max="4" width="15.5703125" style="11" customWidth="1"/>
    <col min="5" max="6" width="13.28515625" style="11" customWidth="1"/>
    <col min="7" max="7" width="13.7109375" style="12" customWidth="1"/>
    <col min="8" max="8" width="16" style="11" customWidth="1"/>
    <col min="9" max="9" width="14.28515625" style="12" customWidth="1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45.75" thickBot="1" x14ac:dyDescent="0.3">
      <c r="A3" s="2" t="s">
        <v>0</v>
      </c>
      <c r="B3" s="2" t="s">
        <v>174</v>
      </c>
      <c r="C3" s="2" t="s">
        <v>1</v>
      </c>
      <c r="D3" s="8" t="s">
        <v>344</v>
      </c>
      <c r="E3" s="75" t="s">
        <v>106</v>
      </c>
      <c r="F3" s="75" t="s">
        <v>126</v>
      </c>
      <c r="G3" s="2" t="s">
        <v>105</v>
      </c>
      <c r="H3" s="2" t="s">
        <v>95</v>
      </c>
      <c r="I3" s="2" t="s">
        <v>97</v>
      </c>
    </row>
    <row r="4" spans="1:9" ht="51" customHeight="1" x14ac:dyDescent="0.25">
      <c r="A4" s="30" t="s">
        <v>272</v>
      </c>
      <c r="B4" s="31"/>
      <c r="C4" s="31"/>
      <c r="D4" s="93" t="s">
        <v>502</v>
      </c>
      <c r="E4" s="149"/>
      <c r="F4" s="77"/>
      <c r="G4" s="96" t="s">
        <v>273</v>
      </c>
      <c r="H4" s="4"/>
      <c r="I4" s="35" t="s">
        <v>273</v>
      </c>
    </row>
    <row r="5" spans="1:9" ht="37.15" customHeight="1" x14ac:dyDescent="0.25">
      <c r="A5" s="32" t="s">
        <v>274</v>
      </c>
      <c r="B5" s="32"/>
      <c r="C5" s="32"/>
      <c r="D5" s="106" t="s">
        <v>503</v>
      </c>
      <c r="E5" s="196"/>
      <c r="F5" s="197"/>
      <c r="G5" s="108" t="s">
        <v>145</v>
      </c>
      <c r="H5" s="32"/>
      <c r="I5" s="66" t="s">
        <v>145</v>
      </c>
    </row>
    <row r="6" spans="1:9" ht="28.9" customHeight="1" x14ac:dyDescent="0.25">
      <c r="A6" s="3" t="s">
        <v>275</v>
      </c>
      <c r="B6" s="3"/>
      <c r="C6" s="3"/>
      <c r="D6" s="95" t="s">
        <v>504</v>
      </c>
      <c r="E6" s="150"/>
      <c r="F6" s="151"/>
      <c r="G6" s="109" t="s">
        <v>145</v>
      </c>
      <c r="H6" s="4"/>
      <c r="I6" s="4" t="s">
        <v>145</v>
      </c>
    </row>
    <row r="7" spans="1:9" ht="50.45" customHeight="1" x14ac:dyDescent="0.25">
      <c r="A7" s="5" t="s">
        <v>276</v>
      </c>
      <c r="B7" s="5"/>
      <c r="C7" s="5"/>
      <c r="D7" s="94" t="s">
        <v>505</v>
      </c>
      <c r="E7" s="198"/>
      <c r="F7" s="199"/>
      <c r="G7" s="111" t="s">
        <v>277</v>
      </c>
      <c r="H7" s="7"/>
      <c r="I7" s="7" t="s">
        <v>277</v>
      </c>
    </row>
    <row r="8" spans="1:9" ht="54.6" customHeight="1" thickBot="1" x14ac:dyDescent="0.3">
      <c r="A8" s="1" t="s">
        <v>278</v>
      </c>
      <c r="B8" s="3"/>
      <c r="C8" s="31"/>
      <c r="D8" s="93" t="s">
        <v>506</v>
      </c>
      <c r="E8" s="152"/>
      <c r="F8" s="153"/>
      <c r="G8" s="96" t="s">
        <v>145</v>
      </c>
      <c r="H8" s="4"/>
      <c r="I8" s="4" t="s">
        <v>145</v>
      </c>
    </row>
  </sheetData>
  <sheetProtection sheet="1" objects="1" scenarios="1"/>
  <protectedRanges>
    <protectedRange sqref="E4:F8" name="Rozstęp1"/>
  </protectedRanges>
  <mergeCells count="3">
    <mergeCell ref="B1:I1"/>
    <mergeCell ref="A2:D2"/>
    <mergeCell ref="E2:I2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000-000000000000}">
          <x14:formula1>
            <xm:f>'Dane do list rozwijanych'!$A$8:$A$9</xm:f>
          </x14:formula1>
          <xm:sqref>E4:E8 E2:I2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51"/>
  <sheetViews>
    <sheetView topLeftCell="A48" zoomScale="166" zoomScaleNormal="166" workbookViewId="0">
      <selection activeCell="E49" sqref="E49"/>
    </sheetView>
  </sheetViews>
  <sheetFormatPr defaultColWidth="8.85546875" defaultRowHeight="15" x14ac:dyDescent="0.25"/>
  <cols>
    <col min="1" max="1" width="16.140625" style="11" customWidth="1"/>
    <col min="2" max="2" width="12.85546875" style="11" customWidth="1"/>
    <col min="3" max="4" width="14.140625" style="11" customWidth="1"/>
    <col min="5" max="6" width="7.85546875" style="11" customWidth="1"/>
    <col min="7" max="7" width="8.85546875" style="12"/>
    <col min="8" max="8" width="29.570312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9.5" thickBot="1" x14ac:dyDescent="0.3">
      <c r="A3" s="8" t="s">
        <v>0</v>
      </c>
      <c r="B3" s="8" t="s">
        <v>94</v>
      </c>
      <c r="C3" s="8" t="s">
        <v>1</v>
      </c>
      <c r="D3" s="8" t="s">
        <v>344</v>
      </c>
      <c r="E3" s="147" t="s">
        <v>106</v>
      </c>
      <c r="F3" s="147" t="s">
        <v>173</v>
      </c>
      <c r="G3" s="8" t="s">
        <v>105</v>
      </c>
      <c r="H3" s="8" t="s">
        <v>95</v>
      </c>
      <c r="I3" s="8" t="s">
        <v>97</v>
      </c>
    </row>
    <row r="4" spans="1:9" ht="90" x14ac:dyDescent="0.25">
      <c r="A4" s="263" t="s">
        <v>197</v>
      </c>
      <c r="B4" s="10" t="s">
        <v>87</v>
      </c>
      <c r="C4" s="10" t="s">
        <v>87</v>
      </c>
      <c r="D4" s="124" t="s">
        <v>429</v>
      </c>
      <c r="E4" s="128"/>
      <c r="F4" s="129"/>
      <c r="G4" s="126" t="str">
        <f t="shared" ref="G4" si="0">IF(ISBLANK(E4),"",IF(E4&lt;90,"Nie","Tak"))</f>
        <v/>
      </c>
      <c r="H4" s="10" t="str">
        <f>IF(ISBLANK(E4),"",IF(E4&lt;90,"Zbyt wąskie drzwi. Minimalna szerokość wymagana przepisami to 90 cm.",""))</f>
        <v/>
      </c>
      <c r="I4" s="13" t="str">
        <f t="shared" ref="I4" si="1">G4</f>
        <v/>
      </c>
    </row>
    <row r="5" spans="1:9" ht="105" x14ac:dyDescent="0.25">
      <c r="A5" s="257"/>
      <c r="B5" s="10" t="s">
        <v>221</v>
      </c>
      <c r="C5" s="10" t="s">
        <v>222</v>
      </c>
      <c r="D5" s="124" t="s">
        <v>430</v>
      </c>
      <c r="E5" s="130"/>
      <c r="F5" s="131"/>
      <c r="G5" s="126" t="str">
        <f>IF(ISBLANK(E5),"",IF(E5&gt;2,"Nie","Tak"))</f>
        <v/>
      </c>
      <c r="H5" s="10" t="str">
        <f>IF(ISBLANK(E5),"",IF(E5&gt;2,"Wysokość progu nie może przekraczać 2 cm. Należy zlikwidować lub obniżyć próg w drzwiach.",""))</f>
        <v/>
      </c>
      <c r="I5" s="13" t="str">
        <f>IF(ISBLANK(E5),"",IF(E5&gt;0.5,"Nie","Tak"))</f>
        <v/>
      </c>
    </row>
    <row r="6" spans="1:9" ht="90" x14ac:dyDescent="0.25">
      <c r="A6" s="244" t="s">
        <v>198</v>
      </c>
      <c r="B6" s="9" t="s">
        <v>87</v>
      </c>
      <c r="C6" s="9" t="s">
        <v>87</v>
      </c>
      <c r="D6" s="107" t="s">
        <v>429</v>
      </c>
      <c r="E6" s="200"/>
      <c r="F6" s="173"/>
      <c r="G6" s="98" t="str">
        <f t="shared" ref="G6" si="2">IF(ISBLANK(E6),"",IF(E6&lt;90,"Nie","Tak"))</f>
        <v/>
      </c>
      <c r="H6" s="9" t="str">
        <f>IF(ISBLANK(E6),"",IF(E6&lt;90,"Zbyt wąskie drzwi. Minimalna szerokość wymagana przepisami to 90 cm.",""))</f>
        <v/>
      </c>
      <c r="I6" s="7" t="str">
        <f t="shared" ref="I6" si="3">G6</f>
        <v/>
      </c>
    </row>
    <row r="7" spans="1:9" ht="105" x14ac:dyDescent="0.25">
      <c r="A7" s="246"/>
      <c r="B7" s="9" t="s">
        <v>221</v>
      </c>
      <c r="C7" s="9" t="s">
        <v>222</v>
      </c>
      <c r="D7" s="107" t="s">
        <v>430</v>
      </c>
      <c r="E7" s="200"/>
      <c r="F7" s="173"/>
      <c r="G7" s="98" t="str">
        <f>IF(ISBLANK(E7),"",IF(E7&gt;2,"Nie","Tak"))</f>
        <v/>
      </c>
      <c r="H7" s="9" t="str">
        <f>IF(ISBLANK(E7),"",IF(E7&gt;2,"Wysokość progu nie może przekraczać 2 cm. Należy zlikwidować lub obniżyć próg w drzwiach.",""))</f>
        <v/>
      </c>
      <c r="I7" s="7" t="str">
        <f>IF(ISBLANK(E7),"",IF(E7&gt;0.5,"Nie","Tak"))</f>
        <v/>
      </c>
    </row>
    <row r="8" spans="1:9" ht="90" x14ac:dyDescent="0.25">
      <c r="A8" s="263" t="s">
        <v>330</v>
      </c>
      <c r="B8" s="10" t="s">
        <v>87</v>
      </c>
      <c r="C8" s="10" t="s">
        <v>87</v>
      </c>
      <c r="D8" s="124" t="s">
        <v>429</v>
      </c>
      <c r="E8" s="130"/>
      <c r="F8" s="131"/>
      <c r="G8" s="126" t="str">
        <f t="shared" ref="G8" si="4">IF(ISBLANK(E8),"",IF(E8&lt;90,"Nie","Tak"))</f>
        <v/>
      </c>
      <c r="H8" s="10" t="str">
        <f>IF(ISBLANK(E8),"",IF(E8&lt;90,"Zbyt wąskie drzwi. Minimalna szerokość wymagana przepisami to 90 cm.",""))</f>
        <v/>
      </c>
      <c r="I8" s="13" t="str">
        <f t="shared" ref="I8" si="5">G8</f>
        <v/>
      </c>
    </row>
    <row r="9" spans="1:9" ht="105" x14ac:dyDescent="0.25">
      <c r="A9" s="257"/>
      <c r="B9" s="10" t="s">
        <v>221</v>
      </c>
      <c r="C9" s="10" t="s">
        <v>222</v>
      </c>
      <c r="D9" s="124" t="s">
        <v>430</v>
      </c>
      <c r="E9" s="130"/>
      <c r="F9" s="131"/>
      <c r="G9" s="126" t="str">
        <f>IF(ISBLANK(E9),"",IF(E9&gt;2,"Nie","Tak"))</f>
        <v/>
      </c>
      <c r="H9" s="10" t="str">
        <f>IF(ISBLANK(E9),"",IF(E9&gt;2,"Wysokość progu nie może przekraczać 2 cm. Należy zlikwidować lub obniżyć próg w drzwiach.",""))</f>
        <v/>
      </c>
      <c r="I9" s="13" t="str">
        <f>IF(ISBLANK(E9),"",IF(E9&gt;0.5,"Nie","Tak"))</f>
        <v/>
      </c>
    </row>
    <row r="10" spans="1:9" ht="90" x14ac:dyDescent="0.25">
      <c r="A10" s="244" t="s">
        <v>199</v>
      </c>
      <c r="B10" s="9" t="s">
        <v>87</v>
      </c>
      <c r="C10" s="9" t="s">
        <v>87</v>
      </c>
      <c r="D10" s="107" t="s">
        <v>429</v>
      </c>
      <c r="E10" s="200"/>
      <c r="F10" s="173"/>
      <c r="G10" s="98" t="str">
        <f t="shared" ref="G10" si="6">IF(ISBLANK(E10),"",IF(E10&lt;90,"Nie","Tak"))</f>
        <v/>
      </c>
      <c r="H10" s="9" t="str">
        <f>IF(ISBLANK(E10),"",IF(E10&lt;90,"Zbyt wąskie drzwi. Minimalna szerokość wymagana przepisami to 90 cm.",""))</f>
        <v/>
      </c>
      <c r="I10" s="7" t="str">
        <f t="shared" ref="I10" si="7">G10</f>
        <v/>
      </c>
    </row>
    <row r="11" spans="1:9" ht="105" x14ac:dyDescent="0.25">
      <c r="A11" s="246"/>
      <c r="B11" s="9" t="s">
        <v>221</v>
      </c>
      <c r="C11" s="9" t="s">
        <v>222</v>
      </c>
      <c r="D11" s="107" t="s">
        <v>430</v>
      </c>
      <c r="E11" s="200"/>
      <c r="F11" s="173"/>
      <c r="G11" s="98" t="str">
        <f>IF(ISBLANK(E11),"",IF(E11&gt;2,"Nie","Tak"))</f>
        <v/>
      </c>
      <c r="H11" s="9" t="str">
        <f>IF(ISBLANK(E11),"",IF(E11&gt;2,"Wysokość progu nie może przekraczać 2 cm. Należy zlikwidować lub obniżyć próg w drzwiach.",""))</f>
        <v/>
      </c>
      <c r="I11" s="7" t="str">
        <f>IF(ISBLANK(E11),"",IF(E11&gt;0.5,"Nie","Tak"))</f>
        <v/>
      </c>
    </row>
    <row r="12" spans="1:9" ht="90" x14ac:dyDescent="0.25">
      <c r="A12" s="263" t="s">
        <v>200</v>
      </c>
      <c r="B12" s="10" t="s">
        <v>87</v>
      </c>
      <c r="C12" s="10" t="s">
        <v>87</v>
      </c>
      <c r="D12" s="124" t="s">
        <v>429</v>
      </c>
      <c r="E12" s="130"/>
      <c r="F12" s="131"/>
      <c r="G12" s="126" t="str">
        <f t="shared" ref="G12" si="8">IF(ISBLANK(E12),"",IF(E12&lt;90,"Nie","Tak"))</f>
        <v/>
      </c>
      <c r="H12" s="10" t="str">
        <f>IF(ISBLANK(E12),"",IF(E12&lt;90,"Zbyt wąskie drzwi. Minimalna szerokość wymagana przepisami to 90 cm.",""))</f>
        <v/>
      </c>
      <c r="I12" s="13" t="str">
        <f t="shared" ref="I12" si="9">G12</f>
        <v/>
      </c>
    </row>
    <row r="13" spans="1:9" ht="105" x14ac:dyDescent="0.25">
      <c r="A13" s="257"/>
      <c r="B13" s="10" t="s">
        <v>221</v>
      </c>
      <c r="C13" s="10" t="s">
        <v>222</v>
      </c>
      <c r="D13" s="124" t="s">
        <v>430</v>
      </c>
      <c r="E13" s="130"/>
      <c r="F13" s="131"/>
      <c r="G13" s="126" t="str">
        <f>IF(ISBLANK(E13),"",IF(E13&gt;2,"Nie","Tak"))</f>
        <v/>
      </c>
      <c r="H13" s="10" t="str">
        <f>IF(ISBLANK(E13),"",IF(E13&gt;2,"Wysokość progu nie może przekraczać 2 cm. Należy zlikwidować lub obniżyć próg w drzwiach.",""))</f>
        <v/>
      </c>
      <c r="I13" s="13" t="str">
        <f>IF(ISBLANK(E13),"",IF(E13&gt;0.5,"Nie","Tak"))</f>
        <v/>
      </c>
    </row>
    <row r="14" spans="1:9" ht="90" x14ac:dyDescent="0.25">
      <c r="A14" s="244" t="s">
        <v>201</v>
      </c>
      <c r="B14" s="9" t="s">
        <v>87</v>
      </c>
      <c r="C14" s="9" t="s">
        <v>87</v>
      </c>
      <c r="D14" s="107" t="s">
        <v>429</v>
      </c>
      <c r="E14" s="200"/>
      <c r="F14" s="173"/>
      <c r="G14" s="98" t="str">
        <f t="shared" ref="G14" si="10">IF(ISBLANK(E14),"",IF(E14&lt;90,"Nie","Tak"))</f>
        <v/>
      </c>
      <c r="H14" s="9" t="str">
        <f>IF(ISBLANK(E14),"",IF(E14&lt;90,"Zbyt wąskie drzwi. Minimalna szerokość wymagana przepisami to 90 cm.",""))</f>
        <v/>
      </c>
      <c r="I14" s="7" t="str">
        <f t="shared" ref="I14" si="11">G14</f>
        <v/>
      </c>
    </row>
    <row r="15" spans="1:9" ht="105" x14ac:dyDescent="0.25">
      <c r="A15" s="246"/>
      <c r="B15" s="9" t="s">
        <v>221</v>
      </c>
      <c r="C15" s="9" t="s">
        <v>222</v>
      </c>
      <c r="D15" s="107" t="s">
        <v>430</v>
      </c>
      <c r="E15" s="200"/>
      <c r="F15" s="173"/>
      <c r="G15" s="98" t="str">
        <f>IF(ISBLANK(E15),"",IF(E15&gt;2,"Nie","Tak"))</f>
        <v/>
      </c>
      <c r="H15" s="9" t="str">
        <f>IF(ISBLANK(E15),"",IF(E15&gt;2,"Wysokość progu nie może przekraczać 2 cm. Należy zlikwidować lub obniżyć próg w drzwiach.",""))</f>
        <v/>
      </c>
      <c r="I15" s="7" t="str">
        <f>IF(ISBLANK(E15),"",IF(E15&gt;0.5,"Nie","Tak"))</f>
        <v/>
      </c>
    </row>
    <row r="16" spans="1:9" ht="90" x14ac:dyDescent="0.25">
      <c r="A16" s="263" t="s">
        <v>202</v>
      </c>
      <c r="B16" s="10" t="s">
        <v>87</v>
      </c>
      <c r="C16" s="10" t="s">
        <v>87</v>
      </c>
      <c r="D16" s="124" t="s">
        <v>429</v>
      </c>
      <c r="E16" s="130"/>
      <c r="F16" s="131"/>
      <c r="G16" s="126" t="str">
        <f t="shared" ref="G16" si="12">IF(ISBLANK(E16),"",IF(E16&lt;90,"Nie","Tak"))</f>
        <v/>
      </c>
      <c r="H16" s="10" t="str">
        <f>IF(ISBLANK(E16),"",IF(E16&lt;90,"Zbyt wąskie drzwi. Minimalna szerokość wymagana przepisami to 90 cm.",""))</f>
        <v/>
      </c>
      <c r="I16" s="13" t="str">
        <f t="shared" ref="I16" si="13">G16</f>
        <v/>
      </c>
    </row>
    <row r="17" spans="1:11" ht="105" x14ac:dyDescent="0.25">
      <c r="A17" s="257"/>
      <c r="B17" s="10" t="s">
        <v>221</v>
      </c>
      <c r="C17" s="10" t="s">
        <v>222</v>
      </c>
      <c r="D17" s="124" t="s">
        <v>430</v>
      </c>
      <c r="E17" s="130"/>
      <c r="F17" s="131"/>
      <c r="G17" s="126" t="str">
        <f>IF(ISBLANK(E17),"",IF(E17&gt;2,"Nie","Tak"))</f>
        <v/>
      </c>
      <c r="H17" s="10" t="str">
        <f>IF(ISBLANK(E17),"",IF(E17&gt;2,"Wysokość progu nie może przekraczać 2 cm. Należy zlikwidować lub obniżyć próg w drzwiach.",""))</f>
        <v/>
      </c>
      <c r="I17" s="13" t="str">
        <f>IF(ISBLANK(E17),"",IF(E17&gt;0.5,"Nie","Tak"))</f>
        <v/>
      </c>
    </row>
    <row r="18" spans="1:11" ht="90" x14ac:dyDescent="0.25">
      <c r="A18" s="244" t="s">
        <v>203</v>
      </c>
      <c r="B18" s="9" t="s">
        <v>87</v>
      </c>
      <c r="C18" s="9" t="s">
        <v>87</v>
      </c>
      <c r="D18" s="107" t="s">
        <v>429</v>
      </c>
      <c r="E18" s="200"/>
      <c r="F18" s="173"/>
      <c r="G18" s="98" t="str">
        <f t="shared" ref="G18" si="14">IF(ISBLANK(E18),"",IF(E18&lt;90,"Nie","Tak"))</f>
        <v/>
      </c>
      <c r="H18" s="9" t="str">
        <f>IF(ISBLANK(E18),"",IF(E18&lt;90,"Zbyt wąskie drzwi. Minimalna szerokość wymagana przepisami to 90 cm.",""))</f>
        <v/>
      </c>
      <c r="I18" s="7" t="str">
        <f t="shared" ref="I18" si="15">G18</f>
        <v/>
      </c>
    </row>
    <row r="19" spans="1:11" ht="105" x14ac:dyDescent="0.25">
      <c r="A19" s="246"/>
      <c r="B19" s="9" t="s">
        <v>221</v>
      </c>
      <c r="C19" s="9" t="s">
        <v>222</v>
      </c>
      <c r="D19" s="107" t="s">
        <v>430</v>
      </c>
      <c r="E19" s="200"/>
      <c r="F19" s="173"/>
      <c r="G19" s="98" t="str">
        <f>IF(ISBLANK(E19),"",IF(E19&gt;2,"Nie","Tak"))</f>
        <v/>
      </c>
      <c r="H19" s="9" t="str">
        <f>IF(ISBLANK(E19),"",IF(E19&gt;2,"Wysokość progu nie może przekraczać 2 cm. Należy zlikwidować lub obniżyć próg w drzwiach.",""))</f>
        <v/>
      </c>
      <c r="I19" s="7" t="str">
        <f>IF(ISBLANK(E19),"",IF(E19&gt;0.5,"Nie","Tak"))</f>
        <v/>
      </c>
    </row>
    <row r="20" spans="1:11" ht="90" x14ac:dyDescent="0.25">
      <c r="A20" s="263" t="s">
        <v>316</v>
      </c>
      <c r="B20" s="10" t="s">
        <v>87</v>
      </c>
      <c r="C20" s="10" t="s">
        <v>87</v>
      </c>
      <c r="D20" s="124" t="s">
        <v>429</v>
      </c>
      <c r="E20" s="130"/>
      <c r="F20" s="131"/>
      <c r="G20" s="126" t="str">
        <f t="shared" ref="G20" si="16">IF(ISBLANK(E20),"",IF(E20&lt;90,"Nie","Tak"))</f>
        <v/>
      </c>
      <c r="H20" s="10" t="str">
        <f>IF(ISBLANK(E20),"",IF(E20&lt;90,"Zbyt wąskie drzwi. Minimalna szerokość wymagana przepisami to 90 cm.",""))</f>
        <v/>
      </c>
      <c r="I20" s="13" t="str">
        <f t="shared" ref="I20" si="17">G20</f>
        <v/>
      </c>
    </row>
    <row r="21" spans="1:11" ht="105" x14ac:dyDescent="0.25">
      <c r="A21" s="257"/>
      <c r="B21" s="10" t="s">
        <v>221</v>
      </c>
      <c r="C21" s="10" t="s">
        <v>222</v>
      </c>
      <c r="D21" s="124" t="s">
        <v>430</v>
      </c>
      <c r="E21" s="130"/>
      <c r="F21" s="131"/>
      <c r="G21" s="126" t="str">
        <f>IF(ISBLANK(E21),"",IF(E21&gt;2,"Nie","Tak"))</f>
        <v/>
      </c>
      <c r="H21" s="10" t="str">
        <f>IF(ISBLANK(E21),"",IF(E21&gt;2,"Wysokość progu nie może przekraczać 2 cm. Należy zlikwidować lub obniżyć próg w drzwiach.",""))</f>
        <v/>
      </c>
      <c r="I21" s="13" t="str">
        <f>IF(ISBLANK(E21),"",IF(E21&gt;0.5,"Nie","Tak"))</f>
        <v/>
      </c>
    </row>
    <row r="22" spans="1:11" ht="90" x14ac:dyDescent="0.25">
      <c r="A22" s="244" t="s">
        <v>204</v>
      </c>
      <c r="B22" s="9" t="s">
        <v>87</v>
      </c>
      <c r="C22" s="9" t="s">
        <v>87</v>
      </c>
      <c r="D22" s="107" t="s">
        <v>429</v>
      </c>
      <c r="E22" s="200"/>
      <c r="F22" s="173"/>
      <c r="G22" s="98" t="str">
        <f t="shared" ref="G22" si="18">IF(ISBLANK(E22),"",IF(E22&lt;90,"Nie","Tak"))</f>
        <v/>
      </c>
      <c r="H22" s="9" t="str">
        <f>IF(ISBLANK(E22),"",IF(E22&lt;90,"Zbyt wąskie drzwi. Minimalna szerokość wymagana przepisami to 90 cm.",""))</f>
        <v/>
      </c>
      <c r="I22" s="7" t="str">
        <f t="shared" ref="I22" si="19">G22</f>
        <v/>
      </c>
    </row>
    <row r="23" spans="1:11" ht="105" x14ac:dyDescent="0.25">
      <c r="A23" s="246"/>
      <c r="B23" s="9" t="s">
        <v>221</v>
      </c>
      <c r="C23" s="9" t="s">
        <v>222</v>
      </c>
      <c r="D23" s="107" t="s">
        <v>430</v>
      </c>
      <c r="E23" s="200"/>
      <c r="F23" s="173"/>
      <c r="G23" s="98" t="str">
        <f>IF(ISBLANK(E23),"",IF(E23&gt;2,"Nie","Tak"))</f>
        <v/>
      </c>
      <c r="H23" s="9" t="str">
        <f>IF(ISBLANK(E23),"",IF(E23&gt;2,"Wysokość progu nie może przekraczać 2 cm. Należy zlikwidować lub obniżyć próg w drzwiach.",""))</f>
        <v/>
      </c>
      <c r="I23" s="7" t="str">
        <f>IF(ISBLANK(E23),"",IF(E23&gt;0.5,"Nie","Tak"))</f>
        <v/>
      </c>
    </row>
    <row r="24" spans="1:11" ht="90" x14ac:dyDescent="0.25">
      <c r="A24" s="263" t="s">
        <v>205</v>
      </c>
      <c r="B24" s="10" t="s">
        <v>87</v>
      </c>
      <c r="C24" s="10" t="s">
        <v>87</v>
      </c>
      <c r="D24" s="124" t="s">
        <v>429</v>
      </c>
      <c r="E24" s="130"/>
      <c r="F24" s="131"/>
      <c r="G24" s="126" t="str">
        <f t="shared" ref="G24" si="20">IF(ISBLANK(E24),"",IF(E24&lt;90,"Nie","Tak"))</f>
        <v/>
      </c>
      <c r="H24" s="10" t="str">
        <f>IF(ISBLANK(E24),"",IF(E24&lt;90,"Zbyt wąskie drzwi. Minimalna szerokość wymagana przepisami to 90 cm.",""))</f>
        <v/>
      </c>
      <c r="I24" s="13" t="str">
        <f t="shared" ref="I24" si="21">G24</f>
        <v/>
      </c>
    </row>
    <row r="25" spans="1:11" ht="105" x14ac:dyDescent="0.25">
      <c r="A25" s="257"/>
      <c r="B25" s="10" t="s">
        <v>221</v>
      </c>
      <c r="C25" s="10" t="s">
        <v>222</v>
      </c>
      <c r="D25" s="124" t="s">
        <v>430</v>
      </c>
      <c r="E25" s="130"/>
      <c r="F25" s="131"/>
      <c r="G25" s="126" t="str">
        <f>IF(ISBLANK(E25),"",IF(E25&gt;2,"Nie","Tak"))</f>
        <v/>
      </c>
      <c r="H25" s="10" t="str">
        <f>IF(ISBLANK(E25),"",IF(E25&gt;2,"Wysokość progu nie może przekraczać 2 cm. Należy zlikwidować lub obniżyć próg w drzwiach.",""))</f>
        <v/>
      </c>
      <c r="I25" s="13" t="str">
        <f>IF(ISBLANK(E25),"",IF(E25&gt;0.5,"Nie","Tak"))</f>
        <v/>
      </c>
    </row>
    <row r="26" spans="1:11" ht="90" x14ac:dyDescent="0.25">
      <c r="A26" s="244" t="s">
        <v>206</v>
      </c>
      <c r="B26" s="9" t="s">
        <v>87</v>
      </c>
      <c r="C26" s="9" t="s">
        <v>87</v>
      </c>
      <c r="D26" s="107" t="s">
        <v>429</v>
      </c>
      <c r="E26" s="200"/>
      <c r="F26" s="173"/>
      <c r="G26" s="98" t="str">
        <f t="shared" ref="G26" si="22">IF(ISBLANK(E26),"",IF(E26&lt;90,"Nie","Tak"))</f>
        <v/>
      </c>
      <c r="H26" s="9" t="str">
        <f>IF(ISBLANK(E26),"",IF(E26&lt;90,"Zbyt wąskie drzwi. Minimalna szerokość wymagana przepisami to 90 cm.",""))</f>
        <v/>
      </c>
      <c r="I26" s="7" t="str">
        <f t="shared" ref="I26" si="23">G26</f>
        <v/>
      </c>
      <c r="K26" s="26"/>
    </row>
    <row r="27" spans="1:11" ht="105" x14ac:dyDescent="0.25">
      <c r="A27" s="246"/>
      <c r="B27" s="9" t="s">
        <v>221</v>
      </c>
      <c r="C27" s="9" t="s">
        <v>222</v>
      </c>
      <c r="D27" s="107" t="s">
        <v>430</v>
      </c>
      <c r="E27" s="200"/>
      <c r="F27" s="173"/>
      <c r="G27" s="98" t="str">
        <f>IF(ISBLANK(E27),"",IF(E27&gt;2,"Nie","Tak"))</f>
        <v/>
      </c>
      <c r="H27" s="9" t="str">
        <f>IF(ISBLANK(E27),"",IF(E27&gt;2,"Wysokość progu nie może przekraczać 2 cm. Należy zlikwidować lub obniżyć próg w drzwiach.",""))</f>
        <v/>
      </c>
      <c r="I27" s="7" t="str">
        <f>IF(ISBLANK(E27),"",IF(E27&gt;0.5,"Nie","Tak"))</f>
        <v/>
      </c>
      <c r="K27" s="26"/>
    </row>
    <row r="28" spans="1:11" ht="90" x14ac:dyDescent="0.25">
      <c r="A28" s="263" t="s">
        <v>207</v>
      </c>
      <c r="B28" s="10" t="s">
        <v>87</v>
      </c>
      <c r="C28" s="10" t="s">
        <v>87</v>
      </c>
      <c r="D28" s="124" t="s">
        <v>429</v>
      </c>
      <c r="E28" s="130"/>
      <c r="F28" s="131"/>
      <c r="G28" s="126" t="str">
        <f t="shared" ref="G28" si="24">IF(ISBLANK(E28),"",IF(E28&lt;90,"Nie","Tak"))</f>
        <v/>
      </c>
      <c r="H28" s="10" t="str">
        <f>IF(ISBLANK(E28),"",IF(E28&lt;90,"Zbyt wąskie drzwi. Minimalna szerokość wymagana przepisami to 90 cm.",""))</f>
        <v/>
      </c>
      <c r="I28" s="13" t="str">
        <f t="shared" ref="I28" si="25">G28</f>
        <v/>
      </c>
      <c r="K28" s="26"/>
    </row>
    <row r="29" spans="1:11" ht="105" x14ac:dyDescent="0.25">
      <c r="A29" s="257"/>
      <c r="B29" s="10" t="s">
        <v>221</v>
      </c>
      <c r="C29" s="10" t="s">
        <v>222</v>
      </c>
      <c r="D29" s="124" t="s">
        <v>430</v>
      </c>
      <c r="E29" s="130"/>
      <c r="F29" s="131"/>
      <c r="G29" s="126" t="str">
        <f>IF(ISBLANK(E29),"",IF(E29&gt;2,"Nie","Tak"))</f>
        <v/>
      </c>
      <c r="H29" s="10" t="str">
        <f>IF(ISBLANK(E29),"",IF(E29&gt;2,"Wysokość progu nie może przekraczać 2 cm. Należy zlikwidować lub obniżyć próg w drzwiach.",""))</f>
        <v/>
      </c>
      <c r="I29" s="13" t="str">
        <f>IF(ISBLANK(E29),"",IF(E29&gt;0.5,"Nie","Tak"))</f>
        <v/>
      </c>
      <c r="K29" s="26"/>
    </row>
    <row r="30" spans="1:11" ht="90" x14ac:dyDescent="0.25">
      <c r="A30" s="244" t="s">
        <v>208</v>
      </c>
      <c r="B30" s="9" t="s">
        <v>87</v>
      </c>
      <c r="C30" s="9" t="s">
        <v>87</v>
      </c>
      <c r="D30" s="107" t="s">
        <v>429</v>
      </c>
      <c r="E30" s="200"/>
      <c r="F30" s="173"/>
      <c r="G30" s="98" t="str">
        <f t="shared" ref="G30" si="26">IF(ISBLANK(E30),"",IF(E30&lt;90,"Nie","Tak"))</f>
        <v/>
      </c>
      <c r="H30" s="9" t="str">
        <f>IF(ISBLANK(E30),"",IF(E30&lt;90,"Zbyt wąskie drzwi. Minimalna szerokość wymagana przepisami to 90 cm.",""))</f>
        <v/>
      </c>
      <c r="I30" s="7" t="str">
        <f t="shared" ref="I30" si="27">G30</f>
        <v/>
      </c>
      <c r="K30" s="26"/>
    </row>
    <row r="31" spans="1:11" ht="105" x14ac:dyDescent="0.25">
      <c r="A31" s="246"/>
      <c r="B31" s="9" t="s">
        <v>221</v>
      </c>
      <c r="C31" s="9" t="s">
        <v>222</v>
      </c>
      <c r="D31" s="107" t="s">
        <v>430</v>
      </c>
      <c r="E31" s="200"/>
      <c r="F31" s="173"/>
      <c r="G31" s="98" t="str">
        <f>IF(ISBLANK(E31),"",IF(E31&gt;2,"Nie","Tak"))</f>
        <v/>
      </c>
      <c r="H31" s="9" t="str">
        <f>IF(ISBLANK(E31),"",IF(E31&gt;2,"Wysokość progu nie może przekraczać 2 cm. Należy zlikwidować lub obniżyć próg w drzwiach.",""))</f>
        <v/>
      </c>
      <c r="I31" s="7" t="str">
        <f>IF(ISBLANK(E31),"",IF(E31&gt;0.5,"Nie","Tak"))</f>
        <v/>
      </c>
      <c r="K31" s="26"/>
    </row>
    <row r="32" spans="1:11" ht="90" x14ac:dyDescent="0.25">
      <c r="A32" s="263" t="s">
        <v>209</v>
      </c>
      <c r="B32" s="10" t="s">
        <v>87</v>
      </c>
      <c r="C32" s="10" t="s">
        <v>87</v>
      </c>
      <c r="D32" s="124" t="s">
        <v>429</v>
      </c>
      <c r="E32" s="130"/>
      <c r="F32" s="131"/>
      <c r="G32" s="126" t="str">
        <f t="shared" ref="G32" si="28">IF(ISBLANK(E32),"",IF(E32&lt;90,"Nie","Tak"))</f>
        <v/>
      </c>
      <c r="H32" s="10" t="str">
        <f>IF(ISBLANK(E32),"",IF(E32&lt;90,"Zbyt wąskie drzwi. Minimalna szerokość wymagana przepisami to 90 cm.",""))</f>
        <v/>
      </c>
      <c r="I32" s="13" t="str">
        <f t="shared" ref="I32" si="29">G32</f>
        <v/>
      </c>
      <c r="K32" s="26"/>
    </row>
    <row r="33" spans="1:11" ht="105" x14ac:dyDescent="0.25">
      <c r="A33" s="257"/>
      <c r="B33" s="10" t="s">
        <v>221</v>
      </c>
      <c r="C33" s="10" t="s">
        <v>222</v>
      </c>
      <c r="D33" s="124" t="s">
        <v>430</v>
      </c>
      <c r="E33" s="130"/>
      <c r="F33" s="131"/>
      <c r="G33" s="126" t="str">
        <f>IF(ISBLANK(E33),"",IF(E33&gt;2,"Nie","Tak"))</f>
        <v/>
      </c>
      <c r="H33" s="10" t="str">
        <f>IF(ISBLANK(E33),"",IF(E33&gt;2,"Wysokość progu nie może przekraczać 2 cm. Należy zlikwidować lub obniżyć próg w drzwiach.",""))</f>
        <v/>
      </c>
      <c r="I33" s="13" t="str">
        <f>IF(ISBLANK(E33),"",IF(E33&gt;0.5,"Nie","Tak"))</f>
        <v/>
      </c>
      <c r="K33" s="26"/>
    </row>
    <row r="34" spans="1:11" ht="90" x14ac:dyDescent="0.25">
      <c r="A34" s="244" t="s">
        <v>210</v>
      </c>
      <c r="B34" s="9" t="s">
        <v>87</v>
      </c>
      <c r="C34" s="9" t="s">
        <v>87</v>
      </c>
      <c r="D34" s="107" t="s">
        <v>429</v>
      </c>
      <c r="E34" s="200" t="s">
        <v>526</v>
      </c>
      <c r="F34" s="173"/>
      <c r="G34" s="98" t="str">
        <f t="shared" ref="G34" si="30">IF(ISBLANK(E34),"",IF(E34&lt;90,"Nie","Tak"))</f>
        <v>Tak</v>
      </c>
      <c r="H34" s="9" t="str">
        <f>IF(ISBLANK(E34),"",IF(E34&lt;90,"Zbyt wąskie drzwi. Minimalna szerokość wymagana przepisami to 90 cm.",""))</f>
        <v/>
      </c>
      <c r="I34" s="7" t="str">
        <f t="shared" ref="I34" si="31">G34</f>
        <v>Tak</v>
      </c>
      <c r="K34" s="26"/>
    </row>
    <row r="35" spans="1:11" ht="105" x14ac:dyDescent="0.25">
      <c r="A35" s="246"/>
      <c r="B35" s="9" t="s">
        <v>221</v>
      </c>
      <c r="C35" s="9" t="s">
        <v>222</v>
      </c>
      <c r="D35" s="107" t="s">
        <v>430</v>
      </c>
      <c r="E35" s="240" t="s">
        <v>526</v>
      </c>
      <c r="F35" s="173"/>
      <c r="G35" s="98" t="str">
        <f>IF(ISBLANK(E35),"",IF(E35&gt;2,"Nie","Tak"))</f>
        <v>Nie</v>
      </c>
      <c r="H35" s="9" t="str">
        <f>IF(ISBLANK(E35),"",IF(E35&gt;2,"Wysokość progu nie może przekraczać 2 cm. Należy zlikwidować lub obniżyć próg w drzwiach.",""))</f>
        <v>Wysokość progu nie może przekraczać 2 cm. Należy zlikwidować lub obniżyć próg w drzwiach.</v>
      </c>
      <c r="I35" s="7" t="str">
        <f>IF(ISBLANK(E35),"",IF(E35&gt;0.5,"Nie","Tak"))</f>
        <v>Nie</v>
      </c>
      <c r="K35" s="26"/>
    </row>
    <row r="36" spans="1:11" ht="90" x14ac:dyDescent="0.25">
      <c r="A36" s="263" t="s">
        <v>329</v>
      </c>
      <c r="B36" s="10" t="s">
        <v>87</v>
      </c>
      <c r="C36" s="10" t="s">
        <v>87</v>
      </c>
      <c r="D36" s="124" t="s">
        <v>429</v>
      </c>
      <c r="E36" s="240">
        <v>162</v>
      </c>
      <c r="F36" s="131"/>
      <c r="G36" s="126" t="str">
        <f t="shared" ref="G36" si="32">IF(ISBLANK(E36),"",IF(E36&lt;90,"Nie","Tak"))</f>
        <v>Tak</v>
      </c>
      <c r="H36" s="10" t="str">
        <f>IF(ISBLANK(E36),"",IF(E36&lt;90,"Zbyt wąskie drzwi. Minimalna szerokość wymagana przepisami to 90 cm.",""))</f>
        <v/>
      </c>
      <c r="I36" s="13" t="str">
        <f t="shared" ref="I36" si="33">G36</f>
        <v>Tak</v>
      </c>
      <c r="K36" s="26"/>
    </row>
    <row r="37" spans="1:11" ht="105" x14ac:dyDescent="0.25">
      <c r="A37" s="257"/>
      <c r="B37" s="10" t="s">
        <v>221</v>
      </c>
      <c r="C37" s="10" t="s">
        <v>222</v>
      </c>
      <c r="D37" s="124" t="s">
        <v>430</v>
      </c>
      <c r="E37" s="240" t="s">
        <v>526</v>
      </c>
      <c r="F37" s="131"/>
      <c r="G37" s="126" t="str">
        <f>IF(ISBLANK(E37),"",IF(E37&gt;2,"Nie","Tak"))</f>
        <v>Nie</v>
      </c>
      <c r="H37" s="10" t="str">
        <f>IF(ISBLANK(E37),"",IF(E37&gt;2,"Wysokość progu nie może przekraczać 2 cm. Należy zlikwidować lub obniżyć próg w drzwiach.",""))</f>
        <v>Wysokość progu nie może przekraczać 2 cm. Należy zlikwidować lub obniżyć próg w drzwiach.</v>
      </c>
      <c r="I37" s="13" t="str">
        <f>IF(ISBLANK(E37),"",IF(E37&gt;0.5,"Nie","Tak"))</f>
        <v>Nie</v>
      </c>
      <c r="K37" s="26"/>
    </row>
    <row r="38" spans="1:11" ht="90" x14ac:dyDescent="0.25">
      <c r="A38" s="244" t="s">
        <v>211</v>
      </c>
      <c r="B38" s="9" t="s">
        <v>87</v>
      </c>
      <c r="C38" s="9" t="s">
        <v>87</v>
      </c>
      <c r="D38" s="107" t="s">
        <v>429</v>
      </c>
      <c r="E38" s="240" t="s">
        <v>526</v>
      </c>
      <c r="F38" s="173"/>
      <c r="G38" s="98" t="str">
        <f t="shared" ref="G38" si="34">IF(ISBLANK(E38),"",IF(E38&lt;90,"Nie","Tak"))</f>
        <v>Tak</v>
      </c>
      <c r="H38" s="9" t="str">
        <f>IF(ISBLANK(E38),"",IF(E38&lt;90,"Zbyt wąskie drzwi. Minimalna szerokość wymagana przepisami to 90 cm.",""))</f>
        <v/>
      </c>
      <c r="I38" s="7" t="str">
        <f t="shared" ref="I38" si="35">G38</f>
        <v>Tak</v>
      </c>
      <c r="K38" s="26"/>
    </row>
    <row r="39" spans="1:11" ht="105" x14ac:dyDescent="0.25">
      <c r="A39" s="246"/>
      <c r="B39" s="9" t="s">
        <v>221</v>
      </c>
      <c r="C39" s="9" t="s">
        <v>222</v>
      </c>
      <c r="D39" s="107" t="s">
        <v>430</v>
      </c>
      <c r="E39" s="240" t="s">
        <v>526</v>
      </c>
      <c r="F39" s="173"/>
      <c r="G39" s="98" t="str">
        <f>IF(ISBLANK(E39),"",IF(E39&gt;2,"Nie","Tak"))</f>
        <v>Nie</v>
      </c>
      <c r="H39" s="9" t="str">
        <f>IF(ISBLANK(E39),"",IF(E39&gt;2,"Wysokość progu nie może przekraczać 2 cm. Należy zlikwidować lub obniżyć próg w drzwiach.",""))</f>
        <v>Wysokość progu nie może przekraczać 2 cm. Należy zlikwidować lub obniżyć próg w drzwiach.</v>
      </c>
      <c r="I39" s="7" t="str">
        <f>IF(ISBLANK(E39),"",IF(E39&gt;0.5,"Nie","Tak"))</f>
        <v>Nie</v>
      </c>
    </row>
    <row r="40" spans="1:11" ht="90" x14ac:dyDescent="0.25">
      <c r="A40" s="263" t="s">
        <v>212</v>
      </c>
      <c r="B40" s="10" t="s">
        <v>87</v>
      </c>
      <c r="C40" s="10" t="s">
        <v>87</v>
      </c>
      <c r="D40" s="124" t="s">
        <v>429</v>
      </c>
      <c r="E40" s="240">
        <v>80</v>
      </c>
      <c r="F40" s="131"/>
      <c r="G40" s="126" t="str">
        <f t="shared" ref="G40" si="36">IF(ISBLANK(E40),"",IF(E40&lt;90,"Nie","Tak"))</f>
        <v>Nie</v>
      </c>
      <c r="H40" s="10" t="str">
        <f>IF(ISBLANK(E40),"",IF(E40&lt;90,"Zbyt wąskie drzwi. Minimalna szerokość wymagana przepisami to 90 cm.",""))</f>
        <v>Zbyt wąskie drzwi. Minimalna szerokość wymagana przepisami to 90 cm.</v>
      </c>
      <c r="I40" s="13" t="str">
        <f t="shared" ref="I40" si="37">G40</f>
        <v>Nie</v>
      </c>
    </row>
    <row r="41" spans="1:11" ht="30.6" customHeight="1" x14ac:dyDescent="0.25">
      <c r="A41" s="257"/>
      <c r="B41" s="10" t="s">
        <v>221</v>
      </c>
      <c r="C41" s="10" t="s">
        <v>222</v>
      </c>
      <c r="D41" s="124" t="s">
        <v>430</v>
      </c>
      <c r="E41" s="240">
        <v>1</v>
      </c>
      <c r="F41" s="131"/>
      <c r="G41" s="126" t="str">
        <f>IF(ISBLANK(E41),"",IF(E41&gt;2,"Nie","Tak"))</f>
        <v>Tak</v>
      </c>
      <c r="H41" s="10" t="str">
        <f>IF(ISBLANK(E41),"",IF(E41&gt;2,"Wysokość progu nie może przekraczać 2 cm. Należy zlikwidować lub obniżyć próg w drzwiach.",""))</f>
        <v/>
      </c>
      <c r="I41" s="13" t="str">
        <f>IF(ISBLANK(E41),"",IF(E41&gt;0.5,"Nie","Tak"))</f>
        <v>Nie</v>
      </c>
    </row>
    <row r="42" spans="1:11" ht="90" x14ac:dyDescent="0.25">
      <c r="A42" s="244" t="s">
        <v>213</v>
      </c>
      <c r="B42" s="9" t="s">
        <v>87</v>
      </c>
      <c r="C42" s="9" t="s">
        <v>87</v>
      </c>
      <c r="D42" s="107" t="s">
        <v>429</v>
      </c>
      <c r="E42" s="240" t="s">
        <v>526</v>
      </c>
      <c r="F42" s="173"/>
      <c r="G42" s="98" t="str">
        <f t="shared" ref="G42" si="38">IF(ISBLANK(E42),"",IF(E42&lt;90,"Nie","Tak"))</f>
        <v>Tak</v>
      </c>
      <c r="H42" s="9" t="str">
        <f>IF(ISBLANK(E42),"",IF(E42&lt;90,"Zbyt wąskie drzwi. Minimalna szerokość wymagana przepisami to 90 cm.",""))</f>
        <v/>
      </c>
      <c r="I42" s="7" t="str">
        <f t="shared" ref="I42" si="39">G42</f>
        <v>Tak</v>
      </c>
    </row>
    <row r="43" spans="1:11" ht="105" x14ac:dyDescent="0.25">
      <c r="A43" s="246"/>
      <c r="B43" s="9" t="s">
        <v>221</v>
      </c>
      <c r="C43" s="9" t="s">
        <v>222</v>
      </c>
      <c r="D43" s="107" t="s">
        <v>430</v>
      </c>
      <c r="E43" s="240" t="s">
        <v>526</v>
      </c>
      <c r="F43" s="173"/>
      <c r="G43" s="98" t="str">
        <f>IF(ISBLANK(E43),"",IF(E43&gt;2,"Nie","Tak"))</f>
        <v>Nie</v>
      </c>
      <c r="H43" s="9" t="str">
        <f>IF(ISBLANK(E43),"",IF(E43&gt;2,"Wysokość progu nie może przekraczać 2 cm. Należy zlikwidować lub obniżyć próg w drzwiach.",""))</f>
        <v>Wysokość progu nie może przekraczać 2 cm. Należy zlikwidować lub obniżyć próg w drzwiach.</v>
      </c>
      <c r="I43" s="7" t="str">
        <f>IF(ISBLANK(E43),"",IF(E43&gt;0.5,"Nie","Tak"))</f>
        <v>Nie</v>
      </c>
    </row>
    <row r="44" spans="1:11" ht="90" x14ac:dyDescent="0.25">
      <c r="A44" s="263" t="s">
        <v>214</v>
      </c>
      <c r="B44" s="10" t="s">
        <v>87</v>
      </c>
      <c r="C44" s="10" t="s">
        <v>87</v>
      </c>
      <c r="D44" s="124" t="s">
        <v>429</v>
      </c>
      <c r="E44" s="240">
        <v>94</v>
      </c>
      <c r="F44" s="131"/>
      <c r="G44" s="126" t="str">
        <f t="shared" ref="G44" si="40">IF(ISBLANK(E44),"",IF(E44&lt;90,"Nie","Tak"))</f>
        <v>Tak</v>
      </c>
      <c r="H44" s="10" t="str">
        <f>IF(ISBLANK(E44),"",IF(E44&lt;90,"Zbyt wąskie drzwi. Minimalna szerokość wymagana przepisami to 90 cm.",""))</f>
        <v/>
      </c>
      <c r="I44" s="13" t="str">
        <f t="shared" ref="I44" si="41">G44</f>
        <v>Tak</v>
      </c>
    </row>
    <row r="45" spans="1:11" ht="105" x14ac:dyDescent="0.25">
      <c r="A45" s="257"/>
      <c r="B45" s="10" t="s">
        <v>221</v>
      </c>
      <c r="C45" s="10" t="s">
        <v>222</v>
      </c>
      <c r="D45" s="124" t="s">
        <v>430</v>
      </c>
      <c r="E45" s="240" t="s">
        <v>526</v>
      </c>
      <c r="F45" s="131"/>
      <c r="G45" s="126" t="str">
        <f>IF(ISBLANK(E45),"",IF(E45&gt;2,"Nie","Tak"))</f>
        <v>Nie</v>
      </c>
      <c r="H45" s="10" t="str">
        <f>IF(ISBLANK(E45),"",IF(E45&gt;2,"Wysokość progu nie może przekraczać 2 cm. Należy zlikwidować lub obniżyć próg w drzwiach.",""))</f>
        <v>Wysokość progu nie może przekraczać 2 cm. Należy zlikwidować lub obniżyć próg w drzwiach.</v>
      </c>
      <c r="I45" s="13" t="str">
        <f>IF(ISBLANK(E45),"",IF(E45&gt;0.5,"Nie","Tak"))</f>
        <v>Nie</v>
      </c>
      <c r="K45" s="26"/>
    </row>
    <row r="46" spans="1:11" ht="90" x14ac:dyDescent="0.25">
      <c r="A46" s="244" t="s">
        <v>215</v>
      </c>
      <c r="B46" s="9" t="s">
        <v>87</v>
      </c>
      <c r="C46" s="9" t="s">
        <v>87</v>
      </c>
      <c r="D46" s="107" t="s">
        <v>429</v>
      </c>
      <c r="E46" s="240" t="s">
        <v>532</v>
      </c>
      <c r="F46" s="173"/>
      <c r="G46" s="98" t="str">
        <f t="shared" ref="G46" si="42">IF(ISBLANK(E46),"",IF(E46&lt;90,"Nie","Tak"))</f>
        <v>Tak</v>
      </c>
      <c r="H46" s="9" t="str">
        <f>IF(ISBLANK(E46),"",IF(E46&lt;90,"Zbyt wąskie drzwi. Minimalna szerokość wymagana przepisami to 90 cm.",""))</f>
        <v/>
      </c>
      <c r="I46" s="7" t="str">
        <f t="shared" ref="I46" si="43">G46</f>
        <v>Tak</v>
      </c>
      <c r="K46" s="26"/>
    </row>
    <row r="47" spans="1:11" ht="105" x14ac:dyDescent="0.25">
      <c r="A47" s="246"/>
      <c r="B47" s="9" t="s">
        <v>221</v>
      </c>
      <c r="C47" s="9" t="s">
        <v>222</v>
      </c>
      <c r="D47" s="107" t="s">
        <v>430</v>
      </c>
      <c r="E47" s="240" t="s">
        <v>532</v>
      </c>
      <c r="F47" s="173"/>
      <c r="G47" s="98" t="str">
        <f>IF(ISBLANK(E47),"",IF(E47&gt;2,"Nie","Tak"))</f>
        <v>Nie</v>
      </c>
      <c r="H47" s="9" t="str">
        <f>IF(ISBLANK(E47),"",IF(E47&gt;2,"Wysokość progu nie może przekraczać 2 cm. Należy zlikwidować lub obniżyć próg w drzwiach.",""))</f>
        <v>Wysokość progu nie może przekraczać 2 cm. Należy zlikwidować lub obniżyć próg w drzwiach.</v>
      </c>
      <c r="I47" s="7" t="str">
        <f>IF(ISBLANK(E47),"",IF(E47&gt;0.5,"Nie","Tak"))</f>
        <v>Nie</v>
      </c>
      <c r="K47" s="26"/>
    </row>
    <row r="48" spans="1:11" ht="90" x14ac:dyDescent="0.25">
      <c r="A48" s="263" t="s">
        <v>216</v>
      </c>
      <c r="B48" s="10" t="s">
        <v>87</v>
      </c>
      <c r="C48" s="10" t="s">
        <v>87</v>
      </c>
      <c r="D48" s="124" t="s">
        <v>429</v>
      </c>
      <c r="E48" s="240">
        <v>90</v>
      </c>
      <c r="F48" s="131" t="s">
        <v>580</v>
      </c>
      <c r="G48" s="126" t="str">
        <f t="shared" ref="G48" si="44">IF(ISBLANK(E48),"",IF(E48&lt;90,"Nie","Tak"))</f>
        <v>Tak</v>
      </c>
      <c r="H48" s="10" t="str">
        <f>IF(ISBLANK(E48),"",IF(E48&lt;90,"Zbyt wąskie drzwi. Minimalna szerokość wymagana przepisami to 90 cm.",""))</f>
        <v/>
      </c>
      <c r="I48" s="13" t="str">
        <f t="shared" ref="I48" si="45">G48</f>
        <v>Tak</v>
      </c>
    </row>
    <row r="49" spans="1:9" ht="105" x14ac:dyDescent="0.25">
      <c r="A49" s="257"/>
      <c r="B49" s="10" t="s">
        <v>221</v>
      </c>
      <c r="C49" s="10" t="s">
        <v>222</v>
      </c>
      <c r="D49" s="124" t="s">
        <v>430</v>
      </c>
      <c r="E49" s="240" t="s">
        <v>582</v>
      </c>
      <c r="F49" s="131" t="s">
        <v>581</v>
      </c>
      <c r="G49" s="126" t="str">
        <f>IF(ISBLANK(E49),"",IF(E49&gt;2,"Nie","Tak"))</f>
        <v>Nie</v>
      </c>
      <c r="H49" s="10" t="str">
        <f>IF(ISBLANK(E49),"",IF(E49&gt;2,"Wysokość progu nie może przekraczać 2 cm. Należy zlikwidować lub obniżyć próg w drzwiach.",""))</f>
        <v>Wysokość progu nie może przekraczać 2 cm. Należy zlikwidować lub obniżyć próg w drzwiach.</v>
      </c>
      <c r="I49" s="13" t="str">
        <f>IF(ISBLANK(E49),"",IF(E49&gt;0.5,"Nie","Tak"))</f>
        <v>Nie</v>
      </c>
    </row>
    <row r="50" spans="1:9" ht="90" x14ac:dyDescent="0.25">
      <c r="A50" s="244" t="s">
        <v>217</v>
      </c>
      <c r="B50" s="9" t="s">
        <v>87</v>
      </c>
      <c r="C50" s="9" t="s">
        <v>87</v>
      </c>
      <c r="D50" s="107" t="s">
        <v>429</v>
      </c>
      <c r="E50" s="240">
        <v>90</v>
      </c>
      <c r="F50" s="173" t="s">
        <v>579</v>
      </c>
      <c r="G50" s="98" t="str">
        <f t="shared" ref="G50" si="46">IF(ISBLANK(E50),"",IF(E50&lt;90,"Nie","Tak"))</f>
        <v>Tak</v>
      </c>
      <c r="H50" s="9" t="str">
        <f>IF(ISBLANK(E50),"",IF(E50&lt;90,"Zbyt wąskie drzwi. Minimalna szerokość wymagana przepisami to 90 cm.",""))</f>
        <v/>
      </c>
      <c r="I50" s="7" t="str">
        <f t="shared" ref="I50" si="47">G50</f>
        <v>Tak</v>
      </c>
    </row>
    <row r="51" spans="1:9" ht="105.75" thickBot="1" x14ac:dyDescent="0.3">
      <c r="A51" s="246"/>
      <c r="B51" s="9" t="s">
        <v>221</v>
      </c>
      <c r="C51" s="9" t="s">
        <v>222</v>
      </c>
      <c r="D51" s="107" t="s">
        <v>430</v>
      </c>
      <c r="E51" s="240" t="s">
        <v>532</v>
      </c>
      <c r="F51" s="202">
        <v>0.3</v>
      </c>
      <c r="G51" s="98" t="str">
        <f>IF(ISBLANK(E51),"",IF(E51&gt;2,"Nie","Tak"))</f>
        <v>Nie</v>
      </c>
      <c r="H51" s="9" t="str">
        <f>IF(ISBLANK(E51),"",IF(E51&gt;2,"Wysokość progu nie może przekraczać 2 cm. Należy zlikwidować lub obniżyć próg w drzwiach.",""))</f>
        <v>Wysokość progu nie może przekraczać 2 cm. Należy zlikwidować lub obniżyć próg w drzwiach.</v>
      </c>
      <c r="I51" s="7" t="str">
        <f>IF(ISBLANK(E51),"",IF(E51&gt;0.5,"Nie","Tak"))</f>
        <v>Nie</v>
      </c>
    </row>
  </sheetData>
  <sheetProtection sheet="1" objects="1" scenarios="1"/>
  <protectedRanges>
    <protectedRange sqref="E4:F51" name="Rozstęp1"/>
  </protectedRanges>
  <mergeCells count="27">
    <mergeCell ref="A50:A51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A47"/>
    <mergeCell ref="A48:A49"/>
    <mergeCell ref="B1:I1"/>
    <mergeCell ref="A2:D2"/>
    <mergeCell ref="E2:I2"/>
    <mergeCell ref="A26:A27"/>
    <mergeCell ref="A4:A5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</mergeCell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100-000000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5"/>
  <sheetViews>
    <sheetView zoomScale="115" zoomScaleNormal="115" workbookViewId="0">
      <selection activeCell="N5" sqref="N5"/>
    </sheetView>
  </sheetViews>
  <sheetFormatPr defaultColWidth="8.85546875" defaultRowHeight="15" x14ac:dyDescent="0.25"/>
  <cols>
    <col min="1" max="1" width="13.42578125" style="11" customWidth="1"/>
    <col min="2" max="2" width="15.28515625" style="11" customWidth="1"/>
    <col min="3" max="3" width="11.7109375" style="11" customWidth="1"/>
    <col min="4" max="4" width="20.85546875" style="11" customWidth="1"/>
    <col min="5" max="5" width="12" style="11" customWidth="1"/>
    <col min="6" max="6" width="13.28515625" style="11" customWidth="1"/>
    <col min="7" max="7" width="8.85546875" style="12"/>
    <col min="8" max="8" width="16" style="11" customWidth="1"/>
    <col min="9" max="9" width="14.28515625" style="12" customWidth="1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94</v>
      </c>
      <c r="C3" s="2" t="s">
        <v>1</v>
      </c>
      <c r="D3" s="2" t="s">
        <v>431</v>
      </c>
      <c r="E3" s="75" t="s">
        <v>106</v>
      </c>
      <c r="F3" s="75" t="s">
        <v>173</v>
      </c>
      <c r="G3" s="2" t="s">
        <v>105</v>
      </c>
      <c r="H3" s="2" t="s">
        <v>95</v>
      </c>
      <c r="I3" s="2" t="s">
        <v>97</v>
      </c>
    </row>
    <row r="4" spans="1:9" ht="75" x14ac:dyDescent="0.25">
      <c r="A4" s="5" t="s">
        <v>261</v>
      </c>
      <c r="B4" s="34"/>
      <c r="C4" s="34"/>
      <c r="D4" s="107" t="s">
        <v>433</v>
      </c>
      <c r="E4" s="203"/>
      <c r="F4" s="204"/>
      <c r="G4" s="98" t="s">
        <v>145</v>
      </c>
      <c r="H4" s="61"/>
      <c r="I4" s="7" t="s">
        <v>145</v>
      </c>
    </row>
    <row r="5" spans="1:9" ht="120.75" thickBot="1" x14ac:dyDescent="0.3">
      <c r="A5" s="3" t="s">
        <v>262</v>
      </c>
      <c r="B5" s="3"/>
      <c r="C5" s="3"/>
      <c r="D5" s="95" t="s">
        <v>522</v>
      </c>
      <c r="E5" s="134"/>
      <c r="F5" s="146"/>
      <c r="G5" s="109" t="s">
        <v>145</v>
      </c>
      <c r="H5" s="63"/>
      <c r="I5" s="4" t="s">
        <v>145</v>
      </c>
    </row>
  </sheetData>
  <sheetProtection sheet="1" objects="1" scenarios="1"/>
  <protectedRanges>
    <protectedRange sqref="E4:F5" name="Rozstęp1"/>
  </protectedRanges>
  <mergeCells count="3">
    <mergeCell ref="B1:I1"/>
    <mergeCell ref="A2:D2"/>
    <mergeCell ref="E2:I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200-000000000000}">
          <x14:formula1>
            <xm:f>'Dane do list rozwijanych'!$A$2:$A$4</xm:f>
          </x14:formula1>
          <xm:sqref>E5</xm:sqref>
        </x14:dataValidation>
        <x14:dataValidation type="list" allowBlank="1" showInputMessage="1" showErrorMessage="1" xr:uid="{00000000-0002-0000-1200-000001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6"/>
  <sheetViews>
    <sheetView zoomScale="70" zoomScaleNormal="70" workbookViewId="0">
      <selection activeCell="D5" sqref="D5"/>
    </sheetView>
  </sheetViews>
  <sheetFormatPr defaultColWidth="8.85546875" defaultRowHeight="15" x14ac:dyDescent="0.25"/>
  <cols>
    <col min="1" max="1" width="21.28515625" style="40" customWidth="1"/>
    <col min="2" max="2" width="10.140625" style="40" customWidth="1"/>
    <col min="3" max="3" width="9.28515625" style="40" customWidth="1"/>
    <col min="4" max="4" width="28.140625" style="40" customWidth="1"/>
    <col min="5" max="5" width="13.28515625" style="40" customWidth="1"/>
    <col min="6" max="6" width="8.42578125" style="40" customWidth="1"/>
    <col min="7" max="7" width="8.85546875" style="41"/>
    <col min="8" max="8" width="16" style="40" customWidth="1"/>
    <col min="9" max="9" width="14.28515625" style="41" customWidth="1"/>
    <col min="10" max="16384" width="8.85546875" style="40"/>
  </cols>
  <sheetData>
    <row r="1" spans="1:9" s="11" customFormat="1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s="11" customFormat="1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90.75" thickBot="1" x14ac:dyDescent="0.3">
      <c r="A3" s="2"/>
      <c r="B3" s="2" t="s">
        <v>94</v>
      </c>
      <c r="C3" s="2" t="s">
        <v>1</v>
      </c>
      <c r="D3" s="2" t="s">
        <v>431</v>
      </c>
      <c r="E3" s="75" t="s">
        <v>106</v>
      </c>
      <c r="F3" s="75" t="s">
        <v>126</v>
      </c>
      <c r="G3" s="2" t="s">
        <v>105</v>
      </c>
      <c r="H3" s="2" t="s">
        <v>95</v>
      </c>
      <c r="I3" s="2" t="s">
        <v>97</v>
      </c>
    </row>
    <row r="4" spans="1:9" ht="89.25" customHeight="1" x14ac:dyDescent="0.25">
      <c r="A4" s="30" t="s">
        <v>263</v>
      </c>
      <c r="B4" s="31"/>
      <c r="C4" s="31"/>
      <c r="D4" s="141" t="s">
        <v>432</v>
      </c>
      <c r="E4" s="123"/>
      <c r="F4" s="77"/>
      <c r="G4" s="96" t="s">
        <v>145</v>
      </c>
      <c r="H4" s="63"/>
      <c r="I4" s="4" t="s">
        <v>145</v>
      </c>
    </row>
    <row r="5" spans="1:9" ht="97.5" customHeight="1" x14ac:dyDescent="0.25">
      <c r="A5" s="5" t="s">
        <v>331</v>
      </c>
      <c r="B5" s="5"/>
      <c r="C5" s="5"/>
      <c r="D5" s="142" t="s">
        <v>434</v>
      </c>
      <c r="E5" s="172"/>
      <c r="F5" s="176"/>
      <c r="G5" s="111" t="s">
        <v>145</v>
      </c>
      <c r="H5" s="61"/>
      <c r="I5" s="7" t="s">
        <v>145</v>
      </c>
    </row>
    <row r="6" spans="1:9" ht="96" customHeight="1" thickBot="1" x14ac:dyDescent="0.3">
      <c r="A6" s="3" t="s">
        <v>332</v>
      </c>
      <c r="B6" s="3"/>
      <c r="C6" s="3"/>
      <c r="D6" s="143" t="s">
        <v>435</v>
      </c>
      <c r="E6" s="144"/>
      <c r="F6" s="145"/>
      <c r="G6" s="109" t="s">
        <v>145</v>
      </c>
      <c r="H6" s="63"/>
      <c r="I6" s="4" t="s">
        <v>145</v>
      </c>
    </row>
  </sheetData>
  <sheetProtection sheet="1" objects="1" scenarios="1"/>
  <protectedRanges>
    <protectedRange sqref="E5:F6 F4" name="Rozstęp1"/>
    <protectedRange sqref="E4" name="Rozstęp1_1"/>
  </protectedRanges>
  <mergeCells count="3">
    <mergeCell ref="B1:I1"/>
    <mergeCell ref="A2:D2"/>
    <mergeCell ref="E2:I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300-000000000000}">
          <x14:formula1>
            <xm:f>'Dane do list rozwijanych'!$A$2:$A$4</xm:f>
          </x14:formula1>
          <xm:sqref>E4</xm:sqref>
        </x14:dataValidation>
        <x14:dataValidation type="list" allowBlank="1" showInputMessage="1" showErrorMessage="1" xr:uid="{00000000-0002-0000-1300-000001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9"/>
  <sheetViews>
    <sheetView zoomScale="85" zoomScaleNormal="85" workbookViewId="0">
      <selection activeCell="P7" sqref="P7"/>
    </sheetView>
  </sheetViews>
  <sheetFormatPr defaultColWidth="8.85546875" defaultRowHeight="15" x14ac:dyDescent="0.25"/>
  <cols>
    <col min="1" max="1" width="21.28515625" style="11" customWidth="1"/>
    <col min="2" max="2" width="12.140625" style="11" customWidth="1"/>
    <col min="3" max="3" width="12.5703125" style="11" customWidth="1"/>
    <col min="4" max="4" width="28.7109375" style="11" customWidth="1"/>
    <col min="5" max="5" width="8.7109375" style="11" customWidth="1"/>
    <col min="6" max="6" width="9.140625" style="11" customWidth="1"/>
    <col min="7" max="7" width="16" style="12" customWidth="1"/>
    <col min="8" max="8" width="12.4257812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94</v>
      </c>
      <c r="C3" s="2" t="s">
        <v>1</v>
      </c>
      <c r="D3" s="2" t="s">
        <v>431</v>
      </c>
      <c r="E3" s="75" t="s">
        <v>106</v>
      </c>
      <c r="F3" s="75" t="s">
        <v>126</v>
      </c>
      <c r="G3" s="2" t="s">
        <v>105</v>
      </c>
      <c r="H3" s="2" t="s">
        <v>95</v>
      </c>
      <c r="I3" s="2" t="s">
        <v>97</v>
      </c>
    </row>
    <row r="4" spans="1:9" ht="75" x14ac:dyDescent="0.25">
      <c r="A4" s="37" t="s">
        <v>264</v>
      </c>
      <c r="B4" s="36"/>
      <c r="C4" s="36"/>
      <c r="D4" s="124" t="s">
        <v>436</v>
      </c>
      <c r="E4" s="76"/>
      <c r="F4" s="140"/>
      <c r="G4" s="127" t="s">
        <v>145</v>
      </c>
      <c r="H4" s="13"/>
      <c r="I4" s="13" t="s">
        <v>145</v>
      </c>
    </row>
    <row r="5" spans="1:9" ht="60" x14ac:dyDescent="0.25">
      <c r="A5" s="32" t="s">
        <v>265</v>
      </c>
      <c r="B5" s="5"/>
      <c r="C5" s="5"/>
      <c r="D5" s="94" t="s">
        <v>437</v>
      </c>
      <c r="E5" s="172"/>
      <c r="F5" s="176"/>
      <c r="G5" s="111" t="s">
        <v>145</v>
      </c>
      <c r="H5" s="5"/>
      <c r="I5" s="7" t="s">
        <v>145</v>
      </c>
    </row>
    <row r="6" spans="1:9" ht="60" x14ac:dyDescent="0.25">
      <c r="A6" s="1" t="s">
        <v>266</v>
      </c>
      <c r="B6" s="1"/>
      <c r="C6" s="1"/>
      <c r="D6" s="125" t="s">
        <v>438</v>
      </c>
      <c r="E6" s="103"/>
      <c r="F6" s="105"/>
      <c r="G6" s="127" t="s">
        <v>145</v>
      </c>
      <c r="H6" s="1"/>
      <c r="I6" s="13" t="s">
        <v>145</v>
      </c>
    </row>
    <row r="7" spans="1:9" ht="45" x14ac:dyDescent="0.25">
      <c r="A7" s="5" t="s">
        <v>267</v>
      </c>
      <c r="B7" s="5"/>
      <c r="C7" s="5"/>
      <c r="D7" s="94" t="s">
        <v>439</v>
      </c>
      <c r="E7" s="172"/>
      <c r="F7" s="176"/>
      <c r="G7" s="111" t="s">
        <v>145</v>
      </c>
      <c r="H7" s="5"/>
      <c r="I7" s="7" t="s">
        <v>145</v>
      </c>
    </row>
    <row r="8" spans="1:9" ht="120" x14ac:dyDescent="0.25">
      <c r="A8" s="37" t="s">
        <v>326</v>
      </c>
      <c r="B8" s="36"/>
      <c r="C8" s="36"/>
      <c r="D8" s="124" t="s">
        <v>440</v>
      </c>
      <c r="E8" s="103"/>
      <c r="F8" s="139"/>
      <c r="G8" s="127" t="s">
        <v>145</v>
      </c>
      <c r="H8" s="13"/>
      <c r="I8" s="13" t="s">
        <v>145</v>
      </c>
    </row>
    <row r="9" spans="1:9" ht="75.75" thickBot="1" x14ac:dyDescent="0.3">
      <c r="A9" s="5" t="s">
        <v>317</v>
      </c>
      <c r="B9" s="34"/>
      <c r="C9" s="34"/>
      <c r="D9" s="107" t="s">
        <v>441</v>
      </c>
      <c r="E9" s="174"/>
      <c r="F9" s="205"/>
      <c r="G9" s="111" t="s">
        <v>145</v>
      </c>
      <c r="H9" s="7"/>
      <c r="I9" s="7" t="s">
        <v>145</v>
      </c>
    </row>
  </sheetData>
  <sheetProtection sheet="1" objects="1" scenarios="1"/>
  <protectedRanges>
    <protectedRange sqref="E4:F9" name="Rozstęp1"/>
  </protectedRanges>
  <mergeCells count="3">
    <mergeCell ref="B1:I1"/>
    <mergeCell ref="A2:D2"/>
    <mergeCell ref="E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1400-000000000000}">
          <x14:formula1>
            <xm:f>'Dane do list rozwijanych'!$A$2:$A$4</xm:f>
          </x14:formula1>
          <xm:sqref>E4:E9</xm:sqref>
        </x14:dataValidation>
        <x14:dataValidation type="list" allowBlank="1" showInputMessage="1" showErrorMessage="1" xr:uid="{00000000-0002-0000-1400-000001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J3"/>
  <sheetViews>
    <sheetView workbookViewId="0">
      <selection activeCell="A3" sqref="A3"/>
    </sheetView>
  </sheetViews>
  <sheetFormatPr defaultRowHeight="15" x14ac:dyDescent="0.25"/>
  <cols>
    <col min="1" max="2" width="56.28515625" customWidth="1"/>
    <col min="3" max="3" width="47.7109375" customWidth="1"/>
  </cols>
  <sheetData>
    <row r="1" spans="1:10" ht="18.75" x14ac:dyDescent="0.25">
      <c r="A1" s="279" t="s">
        <v>268</v>
      </c>
      <c r="B1" s="279"/>
      <c r="C1" s="280"/>
      <c r="D1" s="42"/>
      <c r="E1" s="42"/>
      <c r="F1" s="42"/>
      <c r="G1" s="42"/>
      <c r="H1" s="42"/>
      <c r="I1" s="42"/>
      <c r="J1" s="42"/>
    </row>
    <row r="2" spans="1:10" ht="15.75" thickBot="1" x14ac:dyDescent="0.3">
      <c r="A2" s="43" t="s">
        <v>269</v>
      </c>
      <c r="B2" s="2" t="s">
        <v>431</v>
      </c>
      <c r="C2" s="137" t="s">
        <v>270</v>
      </c>
    </row>
    <row r="3" spans="1:10" ht="64.5" customHeight="1" thickBot="1" x14ac:dyDescent="0.3">
      <c r="A3" s="1" t="s">
        <v>318</v>
      </c>
      <c r="B3" s="136" t="s">
        <v>442</v>
      </c>
      <c r="C3" s="138"/>
    </row>
  </sheetData>
  <protectedRanges>
    <protectedRange sqref="C3" name="Rozstęp1"/>
  </protectedRanges>
  <mergeCells count="1">
    <mergeCell ref="A1:C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5"/>
  <sheetViews>
    <sheetView zoomScaleNormal="100" workbookViewId="0">
      <selection activeCell="A3" sqref="A3"/>
    </sheetView>
  </sheetViews>
  <sheetFormatPr defaultColWidth="8.85546875" defaultRowHeight="15" x14ac:dyDescent="0.25"/>
  <cols>
    <col min="1" max="1" width="13.42578125" style="11" customWidth="1"/>
    <col min="2" max="2" width="15.28515625" style="11" customWidth="1"/>
    <col min="3" max="3" width="17.42578125" style="11" customWidth="1"/>
    <col min="4" max="4" width="55.140625" style="11" customWidth="1"/>
    <col min="5" max="5" width="6.7109375" style="11" customWidth="1"/>
    <col min="6" max="6" width="13.28515625" style="11" customWidth="1"/>
    <col min="7" max="7" width="8.85546875" style="12"/>
    <col min="8" max="8" width="16" style="11" customWidth="1"/>
    <col min="9" max="9" width="14.28515625" style="12" customWidth="1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94</v>
      </c>
      <c r="C3" s="2" t="s">
        <v>1</v>
      </c>
      <c r="D3" s="2" t="s">
        <v>431</v>
      </c>
      <c r="E3" s="75" t="s">
        <v>106</v>
      </c>
      <c r="F3" s="75" t="s">
        <v>173</v>
      </c>
      <c r="G3" s="2" t="s">
        <v>105</v>
      </c>
      <c r="H3" s="2" t="s">
        <v>95</v>
      </c>
      <c r="I3" s="2" t="s">
        <v>97</v>
      </c>
    </row>
    <row r="4" spans="1:9" ht="75" x14ac:dyDescent="0.25">
      <c r="A4" s="5" t="s">
        <v>261</v>
      </c>
      <c r="B4" s="34"/>
      <c r="C4" s="34"/>
      <c r="D4" s="107" t="s">
        <v>433</v>
      </c>
      <c r="E4" s="203"/>
      <c r="F4" s="206"/>
      <c r="G4" s="98" t="s">
        <v>145</v>
      </c>
      <c r="H4" s="61"/>
      <c r="I4" s="7" t="s">
        <v>145</v>
      </c>
    </row>
    <row r="5" spans="1:9" ht="45.75" thickBot="1" x14ac:dyDescent="0.3">
      <c r="A5" s="3" t="s">
        <v>262</v>
      </c>
      <c r="B5" s="3"/>
      <c r="C5" s="3"/>
      <c r="D5" s="133" t="s">
        <v>507</v>
      </c>
      <c r="E5" s="134"/>
      <c r="F5" s="135"/>
      <c r="G5" s="109" t="s">
        <v>145</v>
      </c>
      <c r="H5" s="63"/>
      <c r="I5" s="4" t="s">
        <v>145</v>
      </c>
    </row>
  </sheetData>
  <sheetProtection sheet="1" objects="1" scenarios="1"/>
  <protectedRanges>
    <protectedRange sqref="E4:F4 F5" name="Rozstęp1"/>
    <protectedRange sqref="E5" name="Rozstęp1_1"/>
  </protectedRanges>
  <mergeCells count="3">
    <mergeCell ref="B1:I1"/>
    <mergeCell ref="A2:D2"/>
    <mergeCell ref="E2:I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600-000000000000}">
          <x14:formula1>
            <xm:f>'Dane do list rozwijanych'!$A$2:$A$4</xm:f>
          </x14:formula1>
          <xm:sqref>E5</xm:sqref>
        </x14:dataValidation>
        <x14:dataValidation type="list" allowBlank="1" showInputMessage="1" showErrorMessage="1" xr:uid="{00000000-0002-0000-1600-000001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14"/>
  <sheetViews>
    <sheetView zoomScale="70" zoomScaleNormal="70" workbookViewId="0">
      <selection activeCell="O9" sqref="O9"/>
    </sheetView>
  </sheetViews>
  <sheetFormatPr defaultColWidth="8.85546875" defaultRowHeight="15" x14ac:dyDescent="0.25"/>
  <cols>
    <col min="1" max="1" width="15" style="11" customWidth="1"/>
    <col min="2" max="2" width="14" style="11" customWidth="1"/>
    <col min="3" max="3" width="15.28515625" style="11" customWidth="1"/>
    <col min="4" max="4" width="30.85546875" style="11" customWidth="1"/>
    <col min="5" max="6" width="13.28515625" style="11" customWidth="1"/>
    <col min="7" max="7" width="18" style="12" customWidth="1"/>
    <col min="8" max="8" width="16" style="11" customWidth="1"/>
    <col min="9" max="9" width="14.28515625" style="12" customWidth="1"/>
    <col min="10" max="10" width="29.5703125" style="11" customWidth="1"/>
    <col min="11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45.75" thickBot="1" x14ac:dyDescent="0.3">
      <c r="A3" s="2" t="s">
        <v>0</v>
      </c>
      <c r="B3" s="2" t="s">
        <v>94</v>
      </c>
      <c r="C3" s="2" t="s">
        <v>1</v>
      </c>
      <c r="D3" s="2" t="s">
        <v>431</v>
      </c>
      <c r="E3" s="75" t="s">
        <v>106</v>
      </c>
      <c r="F3" s="75" t="s">
        <v>126</v>
      </c>
      <c r="G3" s="2" t="s">
        <v>96</v>
      </c>
      <c r="H3" s="2" t="s">
        <v>95</v>
      </c>
      <c r="I3" s="2" t="s">
        <v>97</v>
      </c>
    </row>
    <row r="4" spans="1:9" ht="75" x14ac:dyDescent="0.25">
      <c r="A4" s="39" t="s">
        <v>175</v>
      </c>
      <c r="B4" s="38"/>
      <c r="C4" s="38" t="s">
        <v>176</v>
      </c>
      <c r="D4" s="124" t="s">
        <v>449</v>
      </c>
      <c r="E4" s="128"/>
      <c r="F4" s="129"/>
      <c r="G4" s="126" t="s">
        <v>145</v>
      </c>
      <c r="H4" s="13"/>
      <c r="I4" s="13" t="str">
        <f>IF(E4="","",IF(OR(VALUE(RIGHT(E4,RIGHT(LEN(E4)-FIND("/",E4))))&lt;150,VALUE(LEFT(E4,FIND("/",E4)-1))&lt;150),"Nie","Tak"))</f>
        <v/>
      </c>
    </row>
    <row r="5" spans="1:9" ht="45" x14ac:dyDescent="0.25">
      <c r="A5" s="53" t="s">
        <v>315</v>
      </c>
      <c r="B5" s="53"/>
      <c r="C5" s="53" t="s">
        <v>177</v>
      </c>
      <c r="D5" s="94" t="s">
        <v>450</v>
      </c>
      <c r="E5" s="172"/>
      <c r="F5" s="176"/>
      <c r="G5" s="111" t="s">
        <v>145</v>
      </c>
      <c r="H5" s="53"/>
      <c r="I5" s="7" t="str">
        <f>IF(E5="","",IF(E5="nie dotyczy",E5,IF(OR(E5&lt;45,E5&gt;48),"Nie","Tak")))</f>
        <v/>
      </c>
    </row>
    <row r="6" spans="1:9" ht="45" x14ac:dyDescent="0.25">
      <c r="A6" s="53"/>
      <c r="B6" s="53"/>
      <c r="C6" s="53" t="s">
        <v>178</v>
      </c>
      <c r="D6" s="94" t="s">
        <v>451</v>
      </c>
      <c r="E6" s="172"/>
      <c r="F6" s="176"/>
      <c r="G6" s="111" t="s">
        <v>145</v>
      </c>
      <c r="H6" s="53"/>
      <c r="I6" s="7" t="str">
        <f>IF(E6="","",IF(E6="nie dotyczy",E6,IF(E6&gt;49,"Tak","Nie")))</f>
        <v/>
      </c>
    </row>
    <row r="7" spans="1:9" ht="60" x14ac:dyDescent="0.25">
      <c r="A7" s="53"/>
      <c r="B7" s="53"/>
      <c r="C7" s="53" t="s">
        <v>179</v>
      </c>
      <c r="D7" s="94" t="s">
        <v>452</v>
      </c>
      <c r="E7" s="172"/>
      <c r="F7" s="176"/>
      <c r="G7" s="111" t="s">
        <v>145</v>
      </c>
      <c r="H7" s="53"/>
      <c r="I7" s="7" t="str">
        <f>IF(E7="","",IF(E7="nie dotyczy",E7,IF(E7&gt;44,"Tak","Nie")))</f>
        <v/>
      </c>
    </row>
    <row r="8" spans="1:9" ht="75" x14ac:dyDescent="0.25">
      <c r="A8" s="263" t="s">
        <v>180</v>
      </c>
      <c r="B8" s="38"/>
      <c r="C8" s="38" t="s">
        <v>181</v>
      </c>
      <c r="D8" s="124" t="s">
        <v>444</v>
      </c>
      <c r="E8" s="130"/>
      <c r="F8" s="131"/>
      <c r="G8" s="126" t="s">
        <v>145</v>
      </c>
      <c r="H8" s="13"/>
      <c r="I8" s="13" t="str">
        <f>IF(E8="","",IF(E8="nie",E8,IF(E8=110,"Tak","Nie")))</f>
        <v/>
      </c>
    </row>
    <row r="9" spans="1:9" ht="75" x14ac:dyDescent="0.25">
      <c r="A9" s="257"/>
      <c r="B9" s="38"/>
      <c r="C9" s="38" t="s">
        <v>182</v>
      </c>
      <c r="D9" s="124" t="s">
        <v>443</v>
      </c>
      <c r="E9" s="130"/>
      <c r="F9" s="131"/>
      <c r="G9" s="126" t="s">
        <v>145</v>
      </c>
      <c r="H9" s="13"/>
      <c r="I9" s="13" t="str">
        <f>IF(E9="","",IF(E9="nie",E9,IF(E9=180,"Tak","Nie")))</f>
        <v/>
      </c>
    </row>
    <row r="10" spans="1:9" ht="45" x14ac:dyDescent="0.25">
      <c r="A10" s="53" t="s">
        <v>183</v>
      </c>
      <c r="B10" s="53"/>
      <c r="C10" s="53" t="s">
        <v>328</v>
      </c>
      <c r="D10" s="94" t="s">
        <v>445</v>
      </c>
      <c r="E10" s="172"/>
      <c r="F10" s="176"/>
      <c r="G10" s="111" t="s">
        <v>145</v>
      </c>
      <c r="H10" s="53"/>
      <c r="I10" s="7" t="str">
        <f>IF(E10="","",E10)</f>
        <v/>
      </c>
    </row>
    <row r="11" spans="1:9" ht="60" x14ac:dyDescent="0.25">
      <c r="A11" s="1" t="s">
        <v>307</v>
      </c>
      <c r="B11" s="1"/>
      <c r="C11" s="1" t="s">
        <v>308</v>
      </c>
      <c r="D11" s="125" t="s">
        <v>453</v>
      </c>
      <c r="E11" s="132"/>
      <c r="F11" s="105"/>
      <c r="G11" s="127" t="s">
        <v>145</v>
      </c>
      <c r="H11" s="1"/>
      <c r="I11" s="13" t="str">
        <f>IF(E11="","",E11)</f>
        <v/>
      </c>
    </row>
    <row r="12" spans="1:9" ht="90" x14ac:dyDescent="0.25">
      <c r="A12" s="53" t="s">
        <v>309</v>
      </c>
      <c r="B12" s="53"/>
      <c r="C12" s="53"/>
      <c r="D12" s="94" t="s">
        <v>446</v>
      </c>
      <c r="E12" s="172"/>
      <c r="F12" s="176"/>
      <c r="G12" s="111" t="s">
        <v>145</v>
      </c>
      <c r="H12" s="53"/>
      <c r="I12" s="7" t="s">
        <v>145</v>
      </c>
    </row>
    <row r="13" spans="1:9" ht="90" x14ac:dyDescent="0.25">
      <c r="A13" s="1" t="s">
        <v>310</v>
      </c>
      <c r="B13" s="1"/>
      <c r="C13" s="1"/>
      <c r="D13" s="125" t="s">
        <v>447</v>
      </c>
      <c r="E13" s="132"/>
      <c r="F13" s="105"/>
      <c r="G13" s="127" t="s">
        <v>145</v>
      </c>
      <c r="H13" s="1"/>
      <c r="I13" s="13" t="s">
        <v>145</v>
      </c>
    </row>
    <row r="14" spans="1:9" ht="105.75" thickBot="1" x14ac:dyDescent="0.3">
      <c r="A14" s="53" t="s">
        <v>311</v>
      </c>
      <c r="B14" s="53"/>
      <c r="C14" s="53"/>
      <c r="D14" s="94" t="s">
        <v>448</v>
      </c>
      <c r="E14" s="174"/>
      <c r="F14" s="175"/>
      <c r="G14" s="111" t="s">
        <v>145</v>
      </c>
      <c r="H14" s="53"/>
      <c r="I14" s="7" t="s">
        <v>145</v>
      </c>
    </row>
  </sheetData>
  <sheetProtection sheet="1" objects="1" scenarios="1"/>
  <protectedRanges>
    <protectedRange sqref="E4:F14" name="Rozstęp1"/>
  </protectedRanges>
  <mergeCells count="4">
    <mergeCell ref="A8:A9"/>
    <mergeCell ref="B1:I1"/>
    <mergeCell ref="A2:D2"/>
    <mergeCell ref="E2:I2"/>
  </mergeCells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700-000000000000}">
          <x14:formula1>
            <xm:f>'Dane do list rozwijanych'!$A$2:$A$4</xm:f>
          </x14:formula1>
          <xm:sqref>E11:E14</xm:sqref>
        </x14:dataValidation>
        <x14:dataValidation type="list" allowBlank="1" showInputMessage="1" showErrorMessage="1" xr:uid="{00000000-0002-0000-1700-000001000000}">
          <x14:formula1>
            <xm:f>'Dane do list rozwijanych'!$A$8:$A$9</xm:f>
          </x14:formula1>
          <xm:sqref>E10 E2:I2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9"/>
  <sheetViews>
    <sheetView topLeftCell="A14" zoomScale="110" zoomScaleNormal="110" workbookViewId="0">
      <selection activeCell="E19" sqref="E19"/>
    </sheetView>
  </sheetViews>
  <sheetFormatPr defaultColWidth="8.85546875" defaultRowHeight="15" x14ac:dyDescent="0.25"/>
  <cols>
    <col min="1" max="1" width="22.140625" style="11" customWidth="1"/>
    <col min="2" max="2" width="33.42578125" style="11" customWidth="1"/>
    <col min="3" max="4" width="27.7109375" style="11" customWidth="1"/>
    <col min="5" max="5" width="16.42578125" style="11" customWidth="1"/>
    <col min="6" max="6" width="26.7109375" style="11" customWidth="1"/>
    <col min="7" max="7" width="17.7109375" style="12" customWidth="1"/>
    <col min="8" max="8" width="31.28515625" style="11" customWidth="1"/>
    <col min="9" max="9" width="11.140625" style="12" customWidth="1"/>
    <col min="10" max="10" width="23.85546875" style="11" customWidth="1"/>
    <col min="11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103.9" customHeight="1" x14ac:dyDescent="0.25">
      <c r="A4" s="256" t="s">
        <v>7</v>
      </c>
      <c r="B4" s="11" t="s">
        <v>157</v>
      </c>
      <c r="C4" s="1"/>
      <c r="D4" s="124" t="s">
        <v>345</v>
      </c>
      <c r="E4" s="76" t="s">
        <v>124</v>
      </c>
      <c r="F4" s="129"/>
      <c r="G4" s="127" t="str">
        <f>IF(ISBLANK(E4),"",E4)</f>
        <v>Tak</v>
      </c>
      <c r="H4" s="1" t="str">
        <f>IF(AND(E4="nie",E5="nie",E6="nie",E7="nie"),"Brak możliwości dotarcia z miejsca parkingowego do obiektu.","")</f>
        <v/>
      </c>
      <c r="I4" s="13" t="s">
        <v>145</v>
      </c>
    </row>
    <row r="5" spans="1:9" ht="95.45" customHeight="1" x14ac:dyDescent="0.25">
      <c r="A5" s="256"/>
      <c r="B5" s="1" t="s">
        <v>127</v>
      </c>
      <c r="C5" s="1"/>
      <c r="D5" s="124" t="s">
        <v>346</v>
      </c>
      <c r="E5" s="101" t="s">
        <v>145</v>
      </c>
      <c r="F5" s="105"/>
      <c r="G5" s="127" t="str">
        <f>IF(ISBLANK(E5),"",E5)</f>
        <v>Nie dotyczy</v>
      </c>
      <c r="H5" s="1" t="str">
        <f>IF(E5="Nie","Zbyt wąska rampa. Należy zwiększyć jej szerokość do minium 90 cm.","")</f>
        <v/>
      </c>
      <c r="I5" s="13" t="s">
        <v>145</v>
      </c>
    </row>
    <row r="6" spans="1:9" ht="92.45" customHeight="1" x14ac:dyDescent="0.25">
      <c r="A6" s="256"/>
      <c r="B6" s="1" t="s">
        <v>129</v>
      </c>
      <c r="C6" s="1"/>
      <c r="D6" s="124" t="s">
        <v>347</v>
      </c>
      <c r="E6" s="101" t="s">
        <v>145</v>
      </c>
      <c r="F6" s="105"/>
      <c r="G6" s="127" t="str">
        <f>IF(ISBLANK(E6),"",E6)</f>
        <v>Nie dotyczy</v>
      </c>
      <c r="H6" s="1" t="str">
        <f>IF(E6="Nie","Zbyt stroma rampa. Należy zapewnić pochylenie nie większe niż 15%","")</f>
        <v/>
      </c>
      <c r="I6" s="13" t="s">
        <v>145</v>
      </c>
    </row>
    <row r="7" spans="1:9" ht="75" x14ac:dyDescent="0.25">
      <c r="A7" s="257"/>
      <c r="B7" s="1" t="s">
        <v>128</v>
      </c>
      <c r="C7" s="1" t="s">
        <v>8</v>
      </c>
      <c r="D7" s="167" t="s">
        <v>523</v>
      </c>
      <c r="E7" s="101" t="s">
        <v>145</v>
      </c>
      <c r="F7" s="105"/>
      <c r="G7" s="127" t="str">
        <f>IF(ISBLANK(E7),"",E7)</f>
        <v>Nie dotyczy</v>
      </c>
      <c r="H7" s="1" t="str">
        <f>IF(E7="Nie","Zbyt duże przewyższenie rampy. Należy zapewnić przewyższenie nie większe niż 15 cm","")</f>
        <v/>
      </c>
      <c r="I7" s="13" t="str">
        <f>IF(ISBLANK(E7),"",E7)</f>
        <v>Nie dotyczy</v>
      </c>
    </row>
    <row r="8" spans="1:9" ht="90" x14ac:dyDescent="0.25">
      <c r="A8" s="5" t="s">
        <v>9</v>
      </c>
      <c r="B8" s="5" t="s">
        <v>10</v>
      </c>
      <c r="C8" s="5" t="s">
        <v>11</v>
      </c>
      <c r="D8" s="169" t="s">
        <v>524</v>
      </c>
      <c r="E8" s="200" t="s">
        <v>124</v>
      </c>
      <c r="F8" s="176"/>
      <c r="G8" s="111" t="s">
        <v>145</v>
      </c>
      <c r="H8" s="5"/>
      <c r="I8" s="7" t="str">
        <f>IF(ISBLANK(E8),"",E8)</f>
        <v>Tak</v>
      </c>
    </row>
    <row r="9" spans="1:9" ht="71.45" customHeight="1" x14ac:dyDescent="0.25">
      <c r="A9" s="241" t="s">
        <v>12</v>
      </c>
      <c r="B9" s="241" t="s">
        <v>13</v>
      </c>
      <c r="C9" s="241" t="s">
        <v>14</v>
      </c>
      <c r="D9" s="91" t="s">
        <v>349</v>
      </c>
      <c r="E9" s="103">
        <v>0</v>
      </c>
      <c r="F9" s="258"/>
      <c r="G9" s="260" t="str">
        <f>IF(ISBLANK(E9),"",IF(H9="Zbyt mało miejsc parkingowych. Wyznacz dodatkowe miejsca.", "Nie","Tak"))</f>
        <v>Nie</v>
      </c>
      <c r="H9" s="241" t="str">
        <f>IF(ISBLANK(E9),"",IF(E10&gt;100,IF(E9&gt;=E10*4%,"","Zbyt mało miejsc parkingowych. Wyznacz dodatkowe miejsca."),IF(AND(E10&lt;101,E10&gt;40),IF(E9&gt;=3,"","Zbyt mało miejsc parkingowych. Wyznacz dodatkowe miejsca."),IF(AND(E10&lt;41,E10&gt;15),IF(E9&gt;=2,"","Zbyt mało miejsc parkingowych. Wyznacz dodatkowe miejsca."),IF(AND(E10&lt;16,E10&gt;0),IF(E9&gt;=1,"","Zbyt mało miejsc parkingowych. Wyznacz dodatkowe miejsca."),IF(E9=0,"Zbyt mało miejsc parkingowych. Wyznacz dodatkowe miejsca.",""))))))</f>
        <v>Zbyt mało miejsc parkingowych. Wyznacz dodatkowe miejsca.</v>
      </c>
      <c r="I9" s="254" t="str">
        <f>G9</f>
        <v>Nie</v>
      </c>
    </row>
    <row r="10" spans="1:9" ht="92.45" customHeight="1" x14ac:dyDescent="0.25">
      <c r="A10" s="243"/>
      <c r="B10" s="243"/>
      <c r="C10" s="243"/>
      <c r="D10" s="93" t="s">
        <v>348</v>
      </c>
      <c r="E10" s="103">
        <v>12</v>
      </c>
      <c r="F10" s="259"/>
      <c r="G10" s="261"/>
      <c r="H10" s="243"/>
      <c r="I10" s="255"/>
    </row>
    <row r="11" spans="1:9" ht="60" x14ac:dyDescent="0.25">
      <c r="A11" s="244" t="s">
        <v>15</v>
      </c>
      <c r="B11" s="5" t="s">
        <v>108</v>
      </c>
      <c r="C11" s="5" t="s">
        <v>108</v>
      </c>
      <c r="D11" s="94" t="s">
        <v>521</v>
      </c>
      <c r="E11" s="172" t="s">
        <v>526</v>
      </c>
      <c r="F11" s="176"/>
      <c r="G11" s="111" t="str">
        <f>IF(ISBLANK(E11),"",IF(ISTEXT(E11),E11,IF(E11&lt;600,"Nie","Tak")))</f>
        <v>nie dotyczy</v>
      </c>
      <c r="H11" s="14" t="str">
        <f>IF(ISBLANK(E11),"",IF(E11&lt;600,"Za mała długość miejsca parkingowego. Należy zapewnić niminum 6 m długości.",""))</f>
        <v/>
      </c>
      <c r="I11" s="7" t="str">
        <f>G11</f>
        <v>nie dotyczy</v>
      </c>
    </row>
    <row r="12" spans="1:9" ht="45" x14ac:dyDescent="0.25">
      <c r="A12" s="245"/>
      <c r="B12" s="5" t="s">
        <v>109</v>
      </c>
      <c r="C12" s="5" t="s">
        <v>109</v>
      </c>
      <c r="D12" s="94" t="s">
        <v>351</v>
      </c>
      <c r="E12" s="172" t="s">
        <v>526</v>
      </c>
      <c r="F12" s="176"/>
      <c r="G12" s="111" t="str">
        <f>IF(ISBLANK(E12),"",IF(ISTEXT(E12),E12,IF(E12&lt;501,"Nie","Tak")))</f>
        <v>nie dotyczy</v>
      </c>
      <c r="H12" s="14" t="str">
        <f>IF(ISBLANK(E12),"",IF(E12&lt;500,"Za mała długość miejsca parkingowego. Należy zapewnić niminum 5 m długości.",""))</f>
        <v/>
      </c>
      <c r="I12" s="7" t="str">
        <f>G12</f>
        <v>nie dotyczy</v>
      </c>
    </row>
    <row r="13" spans="1:9" ht="76.150000000000006" customHeight="1" x14ac:dyDescent="0.25">
      <c r="A13" s="245"/>
      <c r="B13" s="5" t="s">
        <v>110</v>
      </c>
      <c r="C13" s="5" t="s">
        <v>110</v>
      </c>
      <c r="D13" s="94" t="s">
        <v>381</v>
      </c>
      <c r="E13" s="172" t="s">
        <v>526</v>
      </c>
      <c r="F13" s="176"/>
      <c r="G13" s="111" t="str">
        <f>IF(ISBLANK(E13),"",IF(ISTEXT(E13),E13,IF(E13&lt;361,"Nie","Tak")))</f>
        <v>nie dotyczy</v>
      </c>
      <c r="H13" s="14" t="str">
        <f>IF(ISBLANK(E13),"",IF(E13&lt;360,"Za mała szerokość miejsca parkingowego. Należy zapewnić niminum 3,6 m szerokości",""))</f>
        <v/>
      </c>
      <c r="I13" s="7" t="str">
        <f t="shared" ref="I13" si="0">G13</f>
        <v>nie dotyczy</v>
      </c>
    </row>
    <row r="14" spans="1:9" ht="157.15" customHeight="1" x14ac:dyDescent="0.25">
      <c r="A14" s="245"/>
      <c r="B14" s="5" t="s">
        <v>142</v>
      </c>
      <c r="C14" s="5" t="s">
        <v>111</v>
      </c>
      <c r="D14" s="48" t="s">
        <v>508</v>
      </c>
      <c r="E14" s="172" t="s">
        <v>145</v>
      </c>
      <c r="F14" s="176"/>
      <c r="G14" s="111" t="str">
        <f t="shared" ref="G14:G19" si="1">IF(ISBLANK(E14),"",E14)</f>
        <v>Nie dotyczy</v>
      </c>
      <c r="H14" s="5" t="str">
        <f>IF(E14="Nie","Należy zapewnić właściwe parametry miejsca parkingowego","")</f>
        <v/>
      </c>
      <c r="I14" s="7" t="str">
        <f t="shared" ref="I14:I19" si="2">IF(ISBLANK(E14),"",E14)</f>
        <v>Nie dotyczy</v>
      </c>
    </row>
    <row r="15" spans="1:9" ht="156" customHeight="1" x14ac:dyDescent="0.25">
      <c r="A15" s="245"/>
      <c r="B15" s="5" t="s">
        <v>112</v>
      </c>
      <c r="C15" s="5" t="s">
        <v>112</v>
      </c>
      <c r="D15" s="107" t="s">
        <v>509</v>
      </c>
      <c r="E15" s="200" t="s">
        <v>145</v>
      </c>
      <c r="F15" s="176"/>
      <c r="G15" s="111" t="str">
        <f t="shared" si="1"/>
        <v>Nie dotyczy</v>
      </c>
      <c r="H15" s="5" t="str">
        <f>IF(E15="Nie","Należy zapewnić właściwe parametry nawierzchni miejsca parkingowego","")</f>
        <v/>
      </c>
      <c r="I15" s="7" t="str">
        <f t="shared" si="2"/>
        <v>Nie dotyczy</v>
      </c>
    </row>
    <row r="16" spans="1:9" ht="30" x14ac:dyDescent="0.25">
      <c r="A16" s="245"/>
      <c r="B16" s="5" t="s">
        <v>113</v>
      </c>
      <c r="C16" s="5" t="s">
        <v>113</v>
      </c>
      <c r="D16" s="251" t="s">
        <v>352</v>
      </c>
      <c r="E16" s="200" t="s">
        <v>145</v>
      </c>
      <c r="F16" s="176"/>
      <c r="G16" s="111" t="str">
        <f t="shared" si="1"/>
        <v>Nie dotyczy</v>
      </c>
      <c r="H16" s="5" t="str">
        <f>IF(E16="Nie","Należy zapewnić właściwe oznaczenia miejsca parkingowego","")</f>
        <v/>
      </c>
      <c r="I16" s="7" t="str">
        <f t="shared" si="2"/>
        <v>Nie dotyczy</v>
      </c>
    </row>
    <row r="17" spans="1:9" ht="45" x14ac:dyDescent="0.25">
      <c r="A17" s="245"/>
      <c r="B17" s="5" t="s">
        <v>114</v>
      </c>
      <c r="C17" s="5" t="s">
        <v>114</v>
      </c>
      <c r="D17" s="252"/>
      <c r="E17" s="200"/>
      <c r="F17" s="176"/>
      <c r="G17" s="111" t="str">
        <f t="shared" si="1"/>
        <v/>
      </c>
      <c r="H17" s="5" t="str">
        <f t="shared" ref="H17:H19" si="3">IF(E17="Nie","Należy zapewnić właściwe oznaczenia miejsca parkingowego","")</f>
        <v/>
      </c>
      <c r="I17" s="7" t="str">
        <f t="shared" si="2"/>
        <v/>
      </c>
    </row>
    <row r="18" spans="1:9" ht="30" x14ac:dyDescent="0.25">
      <c r="A18" s="245"/>
      <c r="B18" s="5" t="s">
        <v>115</v>
      </c>
      <c r="C18" s="5" t="s">
        <v>115</v>
      </c>
      <c r="D18" s="252"/>
      <c r="E18" s="200" t="s">
        <v>145</v>
      </c>
      <c r="F18" s="176"/>
      <c r="G18" s="111" t="str">
        <f t="shared" si="1"/>
        <v>Nie dotyczy</v>
      </c>
      <c r="H18" s="5" t="str">
        <f t="shared" si="3"/>
        <v/>
      </c>
      <c r="I18" s="7" t="str">
        <f t="shared" si="2"/>
        <v>Nie dotyczy</v>
      </c>
    </row>
    <row r="19" spans="1:9" ht="30.75" thickBot="1" x14ac:dyDescent="0.3">
      <c r="A19" s="246"/>
      <c r="B19" s="5" t="s">
        <v>116</v>
      </c>
      <c r="C19" s="5" t="s">
        <v>116</v>
      </c>
      <c r="D19" s="253"/>
      <c r="E19" s="201" t="s">
        <v>145</v>
      </c>
      <c r="F19" s="175"/>
      <c r="G19" s="111" t="str">
        <f t="shared" si="1"/>
        <v>Nie dotyczy</v>
      </c>
      <c r="H19" s="5" t="str">
        <f t="shared" si="3"/>
        <v/>
      </c>
      <c r="I19" s="7" t="str">
        <f t="shared" si="2"/>
        <v>Nie dotyczy</v>
      </c>
    </row>
  </sheetData>
  <sheetProtection sheet="1" objects="1" scenarios="1"/>
  <protectedRanges>
    <protectedRange sqref="E4:F19" name="Rozstęp1"/>
  </protectedRanges>
  <mergeCells count="13">
    <mergeCell ref="B1:I1"/>
    <mergeCell ref="A2:D2"/>
    <mergeCell ref="E2:I2"/>
    <mergeCell ref="D16:D19"/>
    <mergeCell ref="G9:G10"/>
    <mergeCell ref="H9:H10"/>
    <mergeCell ref="I9:I10"/>
    <mergeCell ref="A11:A19"/>
    <mergeCell ref="A4:A7"/>
    <mergeCell ref="A9:A10"/>
    <mergeCell ref="B9:B10"/>
    <mergeCell ref="C9:C10"/>
    <mergeCell ref="F9:F10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'Dane do list rozwijanych'!$A$2:$A$4</xm:f>
          </x14:formula1>
          <xm:sqref>E4:E8 E14:E19</xm:sqref>
        </x14:dataValidation>
        <x14:dataValidation type="list" allowBlank="1" showInputMessage="1" showErrorMessage="1" xr:uid="{00000000-0002-0000-0100-000001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17"/>
  <sheetViews>
    <sheetView zoomScale="55" zoomScaleNormal="55" workbookViewId="0">
      <selection activeCell="M8" sqref="M8"/>
    </sheetView>
  </sheetViews>
  <sheetFormatPr defaultColWidth="8.85546875" defaultRowHeight="15" x14ac:dyDescent="0.25"/>
  <cols>
    <col min="1" max="1" width="21.28515625" style="11" customWidth="1"/>
    <col min="2" max="2" width="24.7109375" style="11" customWidth="1"/>
    <col min="3" max="4" width="25.140625" style="11" customWidth="1"/>
    <col min="5" max="6" width="21.42578125" style="11" customWidth="1"/>
    <col min="7" max="7" width="18" style="12" customWidth="1"/>
    <col min="8" max="8" width="16" style="11" customWidth="1"/>
    <col min="9" max="9" width="14.28515625" style="12" customWidth="1"/>
    <col min="10" max="10" width="22.28515625" style="11" customWidth="1"/>
    <col min="11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45.75" thickBot="1" x14ac:dyDescent="0.3">
      <c r="A3" s="2" t="s">
        <v>0</v>
      </c>
      <c r="B3" s="2" t="s">
        <v>94</v>
      </c>
      <c r="C3" s="2" t="s">
        <v>1</v>
      </c>
      <c r="D3" s="2" t="s">
        <v>431</v>
      </c>
      <c r="E3" s="75" t="s">
        <v>106</v>
      </c>
      <c r="F3" s="75" t="s">
        <v>126</v>
      </c>
      <c r="G3" s="2" t="s">
        <v>96</v>
      </c>
      <c r="H3" s="2" t="s">
        <v>95</v>
      </c>
      <c r="I3" s="2" t="s">
        <v>97</v>
      </c>
    </row>
    <row r="4" spans="1:9" ht="124.15" customHeight="1" x14ac:dyDescent="0.25">
      <c r="A4" s="277" t="s">
        <v>184</v>
      </c>
      <c r="B4" s="177" t="s">
        <v>185</v>
      </c>
      <c r="C4" s="177" t="s">
        <v>185</v>
      </c>
      <c r="D4" s="210" t="s">
        <v>463</v>
      </c>
      <c r="E4" s="208"/>
      <c r="F4" s="209"/>
      <c r="G4" s="184" t="str">
        <f>IF(E4="","",IF(E4="nie dotyczy",E4,IF(E4&gt;0.89,"Tak","Nie")))</f>
        <v/>
      </c>
      <c r="H4" s="178" t="str">
        <f>IF(G4="nie","Zbyt mała powierzchnia kabiny. Należy zapewnić właściwą wielkość kabiny.","")</f>
        <v/>
      </c>
      <c r="I4" s="179" t="str">
        <f>G4</f>
        <v/>
      </c>
    </row>
    <row r="5" spans="1:9" ht="105" x14ac:dyDescent="0.25">
      <c r="A5" s="277"/>
      <c r="B5" s="177" t="s">
        <v>186</v>
      </c>
      <c r="C5" s="177" t="s">
        <v>186</v>
      </c>
      <c r="D5" s="210" t="s">
        <v>455</v>
      </c>
      <c r="E5" s="194"/>
      <c r="F5" s="195"/>
      <c r="G5" s="184" t="str">
        <f>IF(E5="","",IF(E5="nie dotyczy",E5,IF(E5&gt;89,"Tak","Nie")))</f>
        <v/>
      </c>
      <c r="H5" s="178" t="str">
        <f>IF(G5="nie","Zbyt mała szerokość kabiny. Należy zapewnić właściwą wielkość kabiny.","")</f>
        <v/>
      </c>
      <c r="I5" s="179" t="str">
        <f t="shared" ref="I5:I9" si="0">G5</f>
        <v/>
      </c>
    </row>
    <row r="6" spans="1:9" ht="105" x14ac:dyDescent="0.25">
      <c r="A6" s="277"/>
      <c r="B6" s="3" t="s">
        <v>187</v>
      </c>
      <c r="C6" s="3" t="s">
        <v>187</v>
      </c>
      <c r="D6" s="95" t="s">
        <v>454</v>
      </c>
      <c r="E6" s="186"/>
      <c r="F6" s="187"/>
      <c r="G6" s="109" t="str">
        <f>IF(E6="","",IF(E6="nie dotyczy",E6,IF(E6&gt;1.4,"Tak","Nie")))</f>
        <v/>
      </c>
      <c r="H6" s="63" t="str">
        <f t="shared" ref="H6:H8" si="1">IF(G6="nie","Zbyt mała powierzchnia kabiny. Należy zapewnić właściwą wielkość kabiny.","")</f>
        <v/>
      </c>
      <c r="I6" s="4" t="str">
        <f t="shared" si="0"/>
        <v/>
      </c>
    </row>
    <row r="7" spans="1:9" ht="120" x14ac:dyDescent="0.25">
      <c r="A7" s="277"/>
      <c r="B7" s="73" t="s">
        <v>312</v>
      </c>
      <c r="C7" s="73" t="s">
        <v>188</v>
      </c>
      <c r="D7" s="163" t="s">
        <v>455</v>
      </c>
      <c r="E7" s="188"/>
      <c r="F7" s="189"/>
      <c r="G7" s="185" t="str">
        <f>IF(E7="","",IF(E7="nie dotyczy",E7,IF(E7&gt;89,"Tak","Nie")))</f>
        <v/>
      </c>
      <c r="H7" s="180" t="str">
        <f>IF(G7="nie","Zbyt mała szerokość kabiny. Należy zapewnić właściwą wielkość kabiny.","")</f>
        <v/>
      </c>
      <c r="I7" s="181" t="str">
        <f t="shared" si="0"/>
        <v/>
      </c>
    </row>
    <row r="8" spans="1:9" ht="120" x14ac:dyDescent="0.25">
      <c r="A8" s="277"/>
      <c r="B8" s="164" t="s">
        <v>189</v>
      </c>
      <c r="C8" s="164" t="s">
        <v>189</v>
      </c>
      <c r="D8" s="94" t="s">
        <v>454</v>
      </c>
      <c r="E8" s="190"/>
      <c r="F8" s="191"/>
      <c r="G8" s="166" t="str">
        <f>IF(E8="","",IF(E8="nie dotyczy",E8,IF(E8&gt;2.49,"Tak","Nie")))</f>
        <v/>
      </c>
      <c r="H8" s="61" t="str">
        <f t="shared" si="1"/>
        <v/>
      </c>
      <c r="I8" s="79" t="str">
        <f t="shared" si="0"/>
        <v/>
      </c>
    </row>
    <row r="9" spans="1:9" ht="120" x14ac:dyDescent="0.25">
      <c r="A9" s="277"/>
      <c r="B9" s="164" t="s">
        <v>219</v>
      </c>
      <c r="C9" s="164" t="s">
        <v>190</v>
      </c>
      <c r="D9" s="94" t="s">
        <v>455</v>
      </c>
      <c r="E9" s="190"/>
      <c r="F9" s="191"/>
      <c r="G9" s="166" t="str">
        <f>IF(E9="","",IF(E9="nie dotyczy",E9,IF(E9&gt;89,"Tak","Nie")))</f>
        <v/>
      </c>
      <c r="H9" s="61" t="str">
        <f>IF(G9="nie","Zbyt mała szerokość kabiny. Należy zapewnić właściwą wielkość kabiny.","")</f>
        <v/>
      </c>
      <c r="I9" s="79" t="str">
        <f t="shared" si="0"/>
        <v/>
      </c>
    </row>
    <row r="10" spans="1:9" ht="54.6" customHeight="1" x14ac:dyDescent="0.25">
      <c r="A10" s="3" t="s">
        <v>313</v>
      </c>
      <c r="B10" s="3"/>
      <c r="C10" s="3" t="s">
        <v>314</v>
      </c>
      <c r="D10" s="95" t="s">
        <v>456</v>
      </c>
      <c r="E10" s="186"/>
      <c r="F10" s="187"/>
      <c r="G10" s="109" t="s">
        <v>145</v>
      </c>
      <c r="H10" s="63"/>
      <c r="I10" s="4" t="str">
        <f>IF(E10="","",E10)</f>
        <v/>
      </c>
    </row>
    <row r="11" spans="1:9" ht="90" x14ac:dyDescent="0.25">
      <c r="A11" s="164" t="s">
        <v>191</v>
      </c>
      <c r="B11" s="164"/>
      <c r="C11" s="164" t="s">
        <v>176</v>
      </c>
      <c r="D11" s="94" t="s">
        <v>457</v>
      </c>
      <c r="E11" s="190"/>
      <c r="F11" s="191"/>
      <c r="G11" s="166" t="s">
        <v>145</v>
      </c>
      <c r="H11" s="61"/>
      <c r="I11" s="79" t="str">
        <f>IF(E11="","",IF(OR(VALUE(RIGHT(E11,RIGHT(LEN(E11)-FIND("/",E11))))&lt;150,VALUE(LEFT(E11,FIND("/",E11)-1))&lt;150),"Nie","Tak"))</f>
        <v/>
      </c>
    </row>
    <row r="12" spans="1:9" ht="90" x14ac:dyDescent="0.25">
      <c r="A12" s="277" t="s">
        <v>315</v>
      </c>
      <c r="B12" s="3"/>
      <c r="C12" s="3" t="s">
        <v>177</v>
      </c>
      <c r="D12" s="95" t="s">
        <v>458</v>
      </c>
      <c r="E12" s="186"/>
      <c r="F12" s="187"/>
      <c r="G12" s="109" t="s">
        <v>145</v>
      </c>
      <c r="H12" s="63"/>
      <c r="I12" s="4" t="str">
        <f>IF(E12="","",IF(E12="nie dotyczy",E12,IF(OR(E12&lt;45,E12&gt;48),"Nie","Tak")))</f>
        <v/>
      </c>
    </row>
    <row r="13" spans="1:9" ht="60" x14ac:dyDescent="0.25">
      <c r="A13" s="264"/>
      <c r="B13" s="3"/>
      <c r="C13" s="3" t="s">
        <v>178</v>
      </c>
      <c r="D13" s="95" t="s">
        <v>459</v>
      </c>
      <c r="E13" s="186"/>
      <c r="F13" s="187"/>
      <c r="G13" s="109" t="s">
        <v>145</v>
      </c>
      <c r="H13" s="63"/>
      <c r="I13" s="4" t="str">
        <f>IF(E13="","",IF(E13="nie dotyczy",E13,IF(E13&gt;49,"Tak","Nie")))</f>
        <v/>
      </c>
    </row>
    <row r="14" spans="1:9" ht="60" x14ac:dyDescent="0.25">
      <c r="A14" s="264"/>
      <c r="B14" s="3"/>
      <c r="C14" s="3" t="s">
        <v>179</v>
      </c>
      <c r="D14" s="95" t="s">
        <v>460</v>
      </c>
      <c r="E14" s="186"/>
      <c r="F14" s="187"/>
      <c r="G14" s="109" t="s">
        <v>145</v>
      </c>
      <c r="H14" s="63"/>
      <c r="I14" s="4" t="str">
        <f>IF(E14="","",IF(E14="nie dotyczy",E14,IF(E14&gt;44,"Tak","Nie")))</f>
        <v/>
      </c>
    </row>
    <row r="15" spans="1:9" ht="45" x14ac:dyDescent="0.25">
      <c r="A15" s="164" t="s">
        <v>192</v>
      </c>
      <c r="B15" s="164"/>
      <c r="C15" s="164" t="s">
        <v>193</v>
      </c>
      <c r="D15" s="94" t="s">
        <v>464</v>
      </c>
      <c r="E15" s="190"/>
      <c r="F15" s="191"/>
      <c r="G15" s="166" t="s">
        <v>145</v>
      </c>
      <c r="H15" s="61"/>
      <c r="I15" s="79" t="str">
        <f>IF(E15="","",E15)</f>
        <v/>
      </c>
    </row>
    <row r="16" spans="1:9" ht="90" x14ac:dyDescent="0.25">
      <c r="A16" s="3" t="s">
        <v>194</v>
      </c>
      <c r="B16" s="3"/>
      <c r="C16" s="3" t="s">
        <v>195</v>
      </c>
      <c r="D16" s="95" t="s">
        <v>461</v>
      </c>
      <c r="E16" s="186"/>
      <c r="F16" s="187"/>
      <c r="G16" s="109" t="s">
        <v>145</v>
      </c>
      <c r="H16" s="63"/>
      <c r="I16" s="4" t="str">
        <f>IF(E16="","",IF(E16="nie dotyczy",E16,IF(OR(E16&lt;80,E16&gt;110),"Nie","Tak")))</f>
        <v/>
      </c>
    </row>
    <row r="17" spans="1:9" ht="90.75" thickBot="1" x14ac:dyDescent="0.3">
      <c r="A17" s="164" t="s">
        <v>196</v>
      </c>
      <c r="B17" s="164"/>
      <c r="C17" s="164" t="s">
        <v>195</v>
      </c>
      <c r="D17" s="94" t="s">
        <v>462</v>
      </c>
      <c r="E17" s="192"/>
      <c r="F17" s="193"/>
      <c r="G17" s="166" t="s">
        <v>145</v>
      </c>
      <c r="H17" s="61"/>
      <c r="I17" s="79" t="str">
        <f>IF(E17="","",IF(E17="nie dotyczy",E17,IF(OR(E17&lt;80,E17&gt;110),"Nie","Tak")))</f>
        <v/>
      </c>
    </row>
  </sheetData>
  <sheetProtection sheet="1" objects="1" scenarios="1"/>
  <protectedRanges>
    <protectedRange sqref="E4:F17" name="Rozstęp1"/>
  </protectedRanges>
  <mergeCells count="5">
    <mergeCell ref="A4:A9"/>
    <mergeCell ref="A12:A14"/>
    <mergeCell ref="B1:I1"/>
    <mergeCell ref="A2:D2"/>
    <mergeCell ref="E2:I2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800-000000000000}">
          <x14:formula1>
            <xm:f>'Dane do list rozwijanych'!$A$2:$A$4</xm:f>
          </x14:formula1>
          <xm:sqref>E15</xm:sqref>
        </x14:dataValidation>
        <x14:dataValidation type="list" allowBlank="1" showInputMessage="1" showErrorMessage="1" xr:uid="{00000000-0002-0000-1800-000001000000}">
          <x14:formula1>
            <xm:f>'Dane do list rozwijanych'!$A$8:$A$9</xm:f>
          </x14:formula1>
          <xm:sqref>E10 E2:I2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19"/>
  <sheetViews>
    <sheetView zoomScale="70" zoomScaleNormal="70" workbookViewId="0">
      <selection activeCell="N9" sqref="N9"/>
    </sheetView>
  </sheetViews>
  <sheetFormatPr defaultRowHeight="15" x14ac:dyDescent="0.25"/>
  <cols>
    <col min="1" max="1" width="21.28515625" customWidth="1"/>
    <col min="2" max="2" width="16.42578125" customWidth="1"/>
    <col min="3" max="3" width="14.28515625" customWidth="1"/>
    <col min="4" max="4" width="59.85546875" customWidth="1"/>
    <col min="5" max="5" width="13.28515625" customWidth="1"/>
    <col min="6" max="6" width="18" customWidth="1"/>
    <col min="7" max="7" width="8.85546875" style="54"/>
    <col min="8" max="8" width="16" customWidth="1"/>
    <col min="9" max="9" width="14.28515625" style="54" customWidth="1"/>
  </cols>
  <sheetData>
    <row r="1" spans="1:9" s="11" customFormat="1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s="11" customFormat="1" ht="18" customHeight="1" thickBot="1" x14ac:dyDescent="0.3">
      <c r="A2" s="248" t="s">
        <v>343</v>
      </c>
      <c r="B2" s="248"/>
      <c r="C2" s="248"/>
      <c r="D2" s="248"/>
      <c r="E2" s="249" t="s">
        <v>125</v>
      </c>
      <c r="F2" s="249"/>
      <c r="G2" s="250"/>
      <c r="H2" s="250"/>
      <c r="I2" s="250"/>
    </row>
    <row r="3" spans="1:9" ht="75" x14ac:dyDescent="0.25">
      <c r="A3" s="2" t="s">
        <v>0</v>
      </c>
      <c r="B3" s="2" t="s">
        <v>94</v>
      </c>
      <c r="C3" s="2" t="s">
        <v>1</v>
      </c>
      <c r="D3" s="92" t="s">
        <v>431</v>
      </c>
      <c r="E3" s="99" t="s">
        <v>106</v>
      </c>
      <c r="F3" s="112" t="s">
        <v>126</v>
      </c>
      <c r="G3" s="97" t="s">
        <v>105</v>
      </c>
      <c r="H3" s="2" t="s">
        <v>95</v>
      </c>
      <c r="I3" s="2" t="s">
        <v>97</v>
      </c>
    </row>
    <row r="4" spans="1:9" x14ac:dyDescent="0.25">
      <c r="A4" s="82" t="s">
        <v>271</v>
      </c>
      <c r="B4" s="83"/>
      <c r="C4" s="83"/>
      <c r="D4" s="83"/>
      <c r="E4" s="113"/>
      <c r="F4" s="114"/>
      <c r="G4" s="83"/>
      <c r="H4" s="83"/>
      <c r="I4" s="84"/>
    </row>
    <row r="5" spans="1:9" ht="60" x14ac:dyDescent="0.25">
      <c r="A5" s="30" t="s">
        <v>272</v>
      </c>
      <c r="B5" s="31"/>
      <c r="C5" s="31"/>
      <c r="D5" s="93" t="s">
        <v>465</v>
      </c>
      <c r="E5" s="115"/>
      <c r="F5" s="102"/>
      <c r="G5" s="96" t="s">
        <v>273</v>
      </c>
      <c r="H5" s="63"/>
      <c r="I5" s="35" t="s">
        <v>273</v>
      </c>
    </row>
    <row r="6" spans="1:9" ht="45" x14ac:dyDescent="0.25">
      <c r="A6" s="32" t="s">
        <v>274</v>
      </c>
      <c r="B6" s="65"/>
      <c r="C6" s="65"/>
      <c r="D6" s="106" t="s">
        <v>466</v>
      </c>
      <c r="E6" s="211"/>
      <c r="F6" s="212"/>
      <c r="G6" s="108" t="s">
        <v>145</v>
      </c>
      <c r="H6" s="67"/>
      <c r="I6" s="66" t="s">
        <v>145</v>
      </c>
    </row>
    <row r="7" spans="1:9" ht="45" x14ac:dyDescent="0.25">
      <c r="A7" s="3" t="s">
        <v>275</v>
      </c>
      <c r="B7" s="64"/>
      <c r="C7" s="64"/>
      <c r="D7" s="95" t="s">
        <v>467</v>
      </c>
      <c r="E7" s="116"/>
      <c r="F7" s="117"/>
      <c r="G7" s="109" t="s">
        <v>145</v>
      </c>
      <c r="H7" s="68"/>
      <c r="I7" s="4" t="s">
        <v>145</v>
      </c>
    </row>
    <row r="8" spans="1:9" ht="45" x14ac:dyDescent="0.25">
      <c r="A8" s="45" t="s">
        <v>276</v>
      </c>
      <c r="B8" s="33"/>
      <c r="C8" s="34"/>
      <c r="D8" s="107" t="s">
        <v>468</v>
      </c>
      <c r="E8" s="207"/>
      <c r="F8" s="213"/>
      <c r="G8" s="98" t="s">
        <v>277</v>
      </c>
      <c r="H8" s="58"/>
      <c r="I8" s="6" t="s">
        <v>277</v>
      </c>
    </row>
    <row r="9" spans="1:9" ht="45" x14ac:dyDescent="0.25">
      <c r="A9" s="1" t="s">
        <v>278</v>
      </c>
      <c r="B9" s="3"/>
      <c r="C9" s="31"/>
      <c r="D9" s="93" t="s">
        <v>469</v>
      </c>
      <c r="E9" s="115"/>
      <c r="F9" s="102"/>
      <c r="G9" s="96" t="s">
        <v>145</v>
      </c>
      <c r="H9" s="63"/>
      <c r="I9" s="4" t="s">
        <v>145</v>
      </c>
    </row>
    <row r="10" spans="1:9" ht="30" x14ac:dyDescent="0.25">
      <c r="A10" s="85" t="s">
        <v>279</v>
      </c>
      <c r="B10" s="86"/>
      <c r="C10" s="86"/>
      <c r="D10" s="86"/>
      <c r="E10" s="214"/>
      <c r="F10" s="215"/>
      <c r="G10" s="86"/>
      <c r="H10" s="86"/>
      <c r="I10" s="87"/>
    </row>
    <row r="11" spans="1:9" ht="45" x14ac:dyDescent="0.25">
      <c r="A11" s="46" t="s">
        <v>280</v>
      </c>
      <c r="B11" s="47"/>
      <c r="C11" s="47"/>
      <c r="D11" s="46" t="s">
        <v>470</v>
      </c>
      <c r="E11" s="119"/>
      <c r="F11" s="120"/>
      <c r="G11" s="110" t="s">
        <v>145</v>
      </c>
      <c r="H11" s="69"/>
      <c r="I11" s="47" t="s">
        <v>145</v>
      </c>
    </row>
    <row r="12" spans="1:9" ht="45" x14ac:dyDescent="0.25">
      <c r="A12" s="48" t="s">
        <v>281</v>
      </c>
      <c r="B12" s="49"/>
      <c r="C12" s="49"/>
      <c r="D12" s="48" t="s">
        <v>475</v>
      </c>
      <c r="E12" s="216"/>
      <c r="F12" s="217"/>
      <c r="G12" s="52" t="s">
        <v>145</v>
      </c>
      <c r="H12" s="70"/>
      <c r="I12" s="49" t="s">
        <v>145</v>
      </c>
    </row>
    <row r="13" spans="1:9" ht="60" x14ac:dyDescent="0.25">
      <c r="A13" s="46" t="s">
        <v>282</v>
      </c>
      <c r="B13" s="47"/>
      <c r="C13" s="47"/>
      <c r="D13" s="46" t="s">
        <v>476</v>
      </c>
      <c r="E13" s="119"/>
      <c r="F13" s="120"/>
      <c r="G13" s="110" t="s">
        <v>145</v>
      </c>
      <c r="H13" s="69"/>
      <c r="I13" s="47" t="s">
        <v>145</v>
      </c>
    </row>
    <row r="14" spans="1:9" x14ac:dyDescent="0.25">
      <c r="A14" s="88" t="s">
        <v>283</v>
      </c>
      <c r="B14" s="50"/>
      <c r="C14" s="51"/>
      <c r="D14" s="89"/>
      <c r="E14" s="121"/>
      <c r="F14" s="122"/>
      <c r="G14" s="51"/>
      <c r="H14" s="51"/>
      <c r="I14" s="52"/>
    </row>
    <row r="15" spans="1:9" ht="60" x14ac:dyDescent="0.25">
      <c r="A15" s="46" t="s">
        <v>284</v>
      </c>
      <c r="B15" s="47"/>
      <c r="C15" s="47"/>
      <c r="D15" s="46" t="s">
        <v>471</v>
      </c>
      <c r="E15" s="119"/>
      <c r="F15" s="120"/>
      <c r="G15" s="110" t="s">
        <v>145</v>
      </c>
      <c r="H15" s="69"/>
      <c r="I15" s="47" t="s">
        <v>145</v>
      </c>
    </row>
    <row r="16" spans="1:9" ht="60" x14ac:dyDescent="0.25">
      <c r="A16" s="48" t="s">
        <v>285</v>
      </c>
      <c r="B16" s="49"/>
      <c r="C16" s="49"/>
      <c r="D16" s="48" t="s">
        <v>472</v>
      </c>
      <c r="E16" s="216"/>
      <c r="F16" s="217"/>
      <c r="G16" s="52" t="s">
        <v>145</v>
      </c>
      <c r="H16" s="70"/>
      <c r="I16" s="49" t="s">
        <v>145</v>
      </c>
    </row>
    <row r="17" spans="1:9" x14ac:dyDescent="0.25">
      <c r="A17" s="82" t="s">
        <v>286</v>
      </c>
      <c r="B17" s="83"/>
      <c r="C17" s="83"/>
      <c r="D17" s="83"/>
      <c r="E17" s="113"/>
      <c r="F17" s="114"/>
      <c r="G17" s="83"/>
      <c r="H17" s="83"/>
      <c r="I17" s="84"/>
    </row>
    <row r="18" spans="1:9" ht="60" x14ac:dyDescent="0.25">
      <c r="A18" s="265" t="s">
        <v>287</v>
      </c>
      <c r="B18" s="244"/>
      <c r="C18" s="5" t="s">
        <v>288</v>
      </c>
      <c r="D18" s="94" t="s">
        <v>473</v>
      </c>
      <c r="E18" s="198"/>
      <c r="F18" s="176"/>
      <c r="G18" s="111" t="s">
        <v>145</v>
      </c>
      <c r="H18" s="7"/>
      <c r="I18" s="7" t="str">
        <f>IF(E18="","",IF(E18="tak","Tak","Nie"))</f>
        <v/>
      </c>
    </row>
    <row r="19" spans="1:9" ht="60.75" thickBot="1" x14ac:dyDescent="0.3">
      <c r="A19" s="265"/>
      <c r="B19" s="246"/>
      <c r="C19" s="5" t="s">
        <v>289</v>
      </c>
      <c r="D19" s="94" t="s">
        <v>474</v>
      </c>
      <c r="E19" s="218"/>
      <c r="F19" s="175"/>
      <c r="G19" s="111" t="s">
        <v>145</v>
      </c>
      <c r="H19" s="7"/>
      <c r="I19" s="7" t="str">
        <f>IF(E19="","",IF(E19="tak","Tak","Nie"))</f>
        <v/>
      </c>
    </row>
  </sheetData>
  <sheetProtection sheet="1" objects="1" scenarios="1"/>
  <protectedRanges>
    <protectedRange sqref="E5:F9 E11:F13 E15:F16 E18:F19" name="Rozstęp1"/>
  </protectedRanges>
  <mergeCells count="5">
    <mergeCell ref="A18:A19"/>
    <mergeCell ref="B18:B19"/>
    <mergeCell ref="B1:I1"/>
    <mergeCell ref="A2:D2"/>
    <mergeCell ref="E2:I2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900-000000000000}">
          <x14:formula1>
            <xm:f>'Dane do list rozwijanych'!$A$2:$A$4</xm:f>
          </x14:formula1>
          <xm:sqref>E5:E9 E11:E13 E15:E16 E18:E19</xm:sqref>
        </x14:dataValidation>
        <x14:dataValidation type="list" allowBlank="1" showInputMessage="1" showErrorMessage="1" xr:uid="{00000000-0002-0000-1900-000001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I8"/>
  <sheetViews>
    <sheetView zoomScale="55" zoomScaleNormal="55" workbookViewId="0">
      <selection activeCell="P11" sqref="P11"/>
    </sheetView>
  </sheetViews>
  <sheetFormatPr defaultColWidth="8.85546875" defaultRowHeight="15" x14ac:dyDescent="0.25"/>
  <cols>
    <col min="1" max="1" width="16.7109375" style="11" customWidth="1"/>
    <col min="2" max="2" width="11.85546875" style="11" customWidth="1"/>
    <col min="3" max="3" width="14.42578125" style="11" customWidth="1"/>
    <col min="4" max="6" width="35.85546875" style="11" customWidth="1"/>
    <col min="7" max="7" width="35.85546875" style="12" customWidth="1"/>
    <col min="8" max="8" width="16.7109375" style="11" customWidth="1"/>
    <col min="9" max="9" width="16.7109375" style="12" customWidth="1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45.75" thickBot="1" x14ac:dyDescent="0.3">
      <c r="A3" s="2" t="s">
        <v>0</v>
      </c>
      <c r="B3" s="2" t="s">
        <v>290</v>
      </c>
      <c r="C3" s="2" t="s">
        <v>1</v>
      </c>
      <c r="D3" s="2" t="s">
        <v>431</v>
      </c>
      <c r="E3" s="75" t="s">
        <v>106</v>
      </c>
      <c r="F3" s="75" t="s">
        <v>126</v>
      </c>
      <c r="G3" s="2" t="s">
        <v>96</v>
      </c>
      <c r="H3" s="2" t="s">
        <v>95</v>
      </c>
      <c r="I3" s="2" t="s">
        <v>97</v>
      </c>
    </row>
    <row r="4" spans="1:9" ht="75" x14ac:dyDescent="0.25">
      <c r="A4" s="1" t="s">
        <v>264</v>
      </c>
      <c r="B4" s="36"/>
      <c r="C4" s="36"/>
      <c r="D4" s="167" t="s">
        <v>477</v>
      </c>
      <c r="E4" s="219"/>
      <c r="F4" s="220"/>
      <c r="G4" s="126" t="s">
        <v>145</v>
      </c>
      <c r="H4" s="62"/>
      <c r="I4" s="13" t="s">
        <v>145</v>
      </c>
    </row>
    <row r="5" spans="1:9" ht="75" x14ac:dyDescent="0.25">
      <c r="A5" s="5" t="s">
        <v>265</v>
      </c>
      <c r="B5" s="5"/>
      <c r="C5" s="5"/>
      <c r="D5" s="94" t="s">
        <v>478</v>
      </c>
      <c r="E5" s="190"/>
      <c r="F5" s="191"/>
      <c r="G5" s="166" t="s">
        <v>145</v>
      </c>
      <c r="H5" s="61"/>
      <c r="I5" s="7" t="s">
        <v>145</v>
      </c>
    </row>
    <row r="6" spans="1:9" ht="75" x14ac:dyDescent="0.25">
      <c r="A6" s="1" t="s">
        <v>266</v>
      </c>
      <c r="B6" s="1"/>
      <c r="C6" s="1"/>
      <c r="D6" s="125" t="s">
        <v>479</v>
      </c>
      <c r="E6" s="221"/>
      <c r="F6" s="222"/>
      <c r="G6" s="165" t="s">
        <v>145</v>
      </c>
      <c r="H6" s="62"/>
      <c r="I6" s="13" t="s">
        <v>145</v>
      </c>
    </row>
    <row r="7" spans="1:9" ht="75" x14ac:dyDescent="0.25">
      <c r="A7" s="5" t="s">
        <v>267</v>
      </c>
      <c r="B7" s="5"/>
      <c r="C7" s="5"/>
      <c r="D7" s="94" t="s">
        <v>480</v>
      </c>
      <c r="E7" s="190"/>
      <c r="F7" s="191"/>
      <c r="G7" s="166" t="s">
        <v>145</v>
      </c>
      <c r="H7" s="61"/>
      <c r="I7" s="7" t="s">
        <v>145</v>
      </c>
    </row>
    <row r="8" spans="1:9" ht="90.75" thickBot="1" x14ac:dyDescent="0.3">
      <c r="A8" s="1" t="s">
        <v>326</v>
      </c>
      <c r="B8" s="36"/>
      <c r="C8" s="36"/>
      <c r="D8" s="167" t="s">
        <v>481</v>
      </c>
      <c r="E8" s="223"/>
      <c r="F8" s="224"/>
      <c r="G8" s="126" t="s">
        <v>145</v>
      </c>
      <c r="H8" s="62"/>
      <c r="I8" s="13" t="s">
        <v>145</v>
      </c>
    </row>
  </sheetData>
  <sheetProtection sheet="1" objects="1" scenarios="1"/>
  <protectedRanges>
    <protectedRange sqref="E4:F8" name="Rozstęp1"/>
  </protectedRanges>
  <mergeCells count="3">
    <mergeCell ref="B1:I1"/>
    <mergeCell ref="A2:D2"/>
    <mergeCell ref="E2:I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A00-000000000000}">
          <x14:formula1>
            <xm:f>'Dane do list rozwijanych'!$A$8:$A$9</xm:f>
          </x14:formula1>
          <xm:sqref>E4:E8 E2:I2</xm:sqref>
        </x14:dataValidation>
      </x14:dataValidations>
    </ext>
  </extLst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I4"/>
  <sheetViews>
    <sheetView zoomScale="85" zoomScaleNormal="85" workbookViewId="0">
      <selection activeCell="H21" sqref="H21"/>
    </sheetView>
  </sheetViews>
  <sheetFormatPr defaultRowHeight="15" x14ac:dyDescent="0.25"/>
  <cols>
    <col min="1" max="1" width="67.5703125" customWidth="1"/>
    <col min="2" max="2" width="62.42578125" customWidth="1"/>
  </cols>
  <sheetData>
    <row r="1" spans="1:9" ht="18.75" x14ac:dyDescent="0.25">
      <c r="A1" s="279" t="s">
        <v>268</v>
      </c>
      <c r="B1" s="280"/>
      <c r="C1" s="42"/>
      <c r="D1" s="42"/>
      <c r="E1" s="42"/>
      <c r="F1" s="42"/>
      <c r="G1" s="42"/>
      <c r="H1" s="42"/>
      <c r="I1" s="42"/>
    </row>
    <row r="2" spans="1:9" x14ac:dyDescent="0.25">
      <c r="A2" s="43" t="s">
        <v>269</v>
      </c>
      <c r="B2" s="43" t="s">
        <v>270</v>
      </c>
    </row>
    <row r="3" spans="1:9" ht="22.9" customHeight="1" x14ac:dyDescent="0.25">
      <c r="A3" s="44" t="s">
        <v>333</v>
      </c>
      <c r="B3" s="55"/>
    </row>
    <row r="4" spans="1:9" ht="24" customHeight="1" x14ac:dyDescent="0.25">
      <c r="A4" s="44" t="s">
        <v>291</v>
      </c>
      <c r="B4" s="44"/>
    </row>
  </sheetData>
  <sheetProtection sheet="1" objects="1" scenarios="1"/>
  <protectedRanges>
    <protectedRange sqref="B3:B4" name="Rozstęp1"/>
  </protectedRanges>
  <mergeCells count="1">
    <mergeCell ref="A1:B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A28"/>
  <sheetViews>
    <sheetView workbookViewId="0">
      <selection activeCell="L20" sqref="L20"/>
    </sheetView>
  </sheetViews>
  <sheetFormatPr defaultRowHeight="15" x14ac:dyDescent="0.25"/>
  <cols>
    <col min="1" max="1" width="13.5703125" customWidth="1"/>
  </cols>
  <sheetData>
    <row r="1" spans="1:1" x14ac:dyDescent="0.25">
      <c r="A1" t="s">
        <v>107</v>
      </c>
    </row>
    <row r="2" spans="1:1" x14ac:dyDescent="0.25">
      <c r="A2" t="s">
        <v>145</v>
      </c>
    </row>
    <row r="3" spans="1:1" x14ac:dyDescent="0.25">
      <c r="A3" t="s">
        <v>124</v>
      </c>
    </row>
    <row r="4" spans="1:1" x14ac:dyDescent="0.25">
      <c r="A4" t="s">
        <v>125</v>
      </c>
    </row>
    <row r="7" spans="1:1" x14ac:dyDescent="0.25">
      <c r="A7" t="s">
        <v>107</v>
      </c>
    </row>
    <row r="8" spans="1:1" x14ac:dyDescent="0.25">
      <c r="A8" t="s">
        <v>124</v>
      </c>
    </row>
    <row r="9" spans="1:1" x14ac:dyDescent="0.25">
      <c r="A9" t="s">
        <v>125</v>
      </c>
    </row>
    <row r="12" spans="1:1" x14ac:dyDescent="0.25">
      <c r="A12" t="s">
        <v>107</v>
      </c>
    </row>
    <row r="13" spans="1:1" x14ac:dyDescent="0.25">
      <c r="A13" t="s">
        <v>146</v>
      </c>
    </row>
    <row r="14" spans="1:1" x14ac:dyDescent="0.25">
      <c r="A14" t="s">
        <v>147</v>
      </c>
    </row>
    <row r="17" spans="1:1" x14ac:dyDescent="0.25">
      <c r="A17" t="s">
        <v>107</v>
      </c>
    </row>
    <row r="18" spans="1:1" x14ac:dyDescent="0.25">
      <c r="A18" t="s">
        <v>124</v>
      </c>
    </row>
    <row r="19" spans="1:1" x14ac:dyDescent="0.25">
      <c r="A19" t="s">
        <v>297</v>
      </c>
    </row>
    <row r="20" spans="1:1" x14ac:dyDescent="0.25">
      <c r="A20" t="s">
        <v>125</v>
      </c>
    </row>
    <row r="21" spans="1:1" x14ac:dyDescent="0.25">
      <c r="A21" t="s">
        <v>325</v>
      </c>
    </row>
    <row r="24" spans="1:1" x14ac:dyDescent="0.25">
      <c r="A24" t="s">
        <v>107</v>
      </c>
    </row>
    <row r="25" spans="1:1" x14ac:dyDescent="0.25">
      <c r="A25" t="s">
        <v>124</v>
      </c>
    </row>
    <row r="26" spans="1:1" x14ac:dyDescent="0.25">
      <c r="A26" t="s">
        <v>417</v>
      </c>
    </row>
    <row r="27" spans="1:1" x14ac:dyDescent="0.25">
      <c r="A27" t="s">
        <v>125</v>
      </c>
    </row>
    <row r="28" spans="1:1" x14ac:dyDescent="0.25">
      <c r="A28" t="s">
        <v>418</v>
      </c>
    </row>
  </sheetData>
  <sheetProtection insertColumns="0" insertRows="0" insertHyperlinks="0" deleteColumns="0" deleteRows="0" pivotTables="0"/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4971D-8CC3-4019-99AF-6897D9CA14CE}">
  <dimension ref="A1:L24"/>
  <sheetViews>
    <sheetView topLeftCell="A18" zoomScale="84" zoomScaleNormal="84" workbookViewId="0">
      <selection activeCell="E28" sqref="E28"/>
    </sheetView>
  </sheetViews>
  <sheetFormatPr defaultColWidth="8.85546875" defaultRowHeight="15" x14ac:dyDescent="0.25"/>
  <cols>
    <col min="1" max="1" width="25.7109375" style="11" customWidth="1"/>
    <col min="2" max="2" width="27.140625" style="11" customWidth="1"/>
    <col min="3" max="3" width="22.85546875" style="11" customWidth="1"/>
    <col min="4" max="4" width="26" style="11" customWidth="1"/>
    <col min="5" max="5" width="16.7109375" style="11" customWidth="1"/>
    <col min="6" max="6" width="20.5703125" style="11" customWidth="1"/>
    <col min="7" max="7" width="13.5703125" style="12" customWidth="1"/>
    <col min="8" max="8" width="30.28515625" style="11" customWidth="1"/>
    <col min="9" max="9" width="33.28515625" style="12" customWidth="1"/>
    <col min="10" max="10" width="20" style="11" customWidth="1"/>
    <col min="11" max="16384" width="8.85546875" style="11"/>
  </cols>
  <sheetData>
    <row r="1" spans="1:12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12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12" ht="4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12" ht="135" x14ac:dyDescent="0.25">
      <c r="A4" s="263" t="s">
        <v>225</v>
      </c>
      <c r="B4" s="231" t="s">
        <v>226</v>
      </c>
      <c r="C4" s="231" t="s">
        <v>227</v>
      </c>
      <c r="D4" s="237" t="s">
        <v>354</v>
      </c>
      <c r="E4" s="128" t="s">
        <v>526</v>
      </c>
      <c r="F4" s="129"/>
      <c r="G4" s="126" t="str">
        <f>IF(ISBLANK(E4),"",IF(ISTEXT(E4),E4,IF(E4&lt;16,"Tak","Nie")))</f>
        <v>nie dotyczy</v>
      </c>
      <c r="H4" s="231" t="str">
        <f>IF(G4="Nie","Zbyt stroma pochylnia. Należy zapewnić nachylenie zgodne z przepisami.","")</f>
        <v/>
      </c>
      <c r="I4" s="16" t="str">
        <f>IF(ISBLANK(C4),"",G4)</f>
        <v>nie dotyczy</v>
      </c>
    </row>
    <row r="5" spans="1:12" ht="135" x14ac:dyDescent="0.25">
      <c r="A5" s="256"/>
      <c r="B5" s="231" t="s">
        <v>228</v>
      </c>
      <c r="C5" s="231" t="s">
        <v>228</v>
      </c>
      <c r="D5" s="237" t="s">
        <v>353</v>
      </c>
      <c r="E5" s="130" t="s">
        <v>526</v>
      </c>
      <c r="F5" s="131"/>
      <c r="G5" s="126" t="str">
        <f>IF(ISBLANK(E5),"",IF(ISTEXT(E5),E5,IF(E5&lt;11,"Tak","Nie")))</f>
        <v>nie dotyczy</v>
      </c>
      <c r="H5" s="231" t="str">
        <f t="shared" ref="H5:H8" si="0">IF(G5="Nie","Zbyt stroma pochylnia. Należy zapewnić nachylenie zgodne z przepisami.","")</f>
        <v/>
      </c>
      <c r="I5" s="16" t="str">
        <f t="shared" ref="I5:I9" si="1">IF(ISBLANK(C5),"",G5)</f>
        <v>nie dotyczy</v>
      </c>
    </row>
    <row r="6" spans="1:12" ht="135" x14ac:dyDescent="0.25">
      <c r="A6" s="256"/>
      <c r="B6" s="231" t="s">
        <v>229</v>
      </c>
      <c r="C6" s="231" t="s">
        <v>230</v>
      </c>
      <c r="D6" s="237" t="s">
        <v>355</v>
      </c>
      <c r="E6" s="130">
        <v>29</v>
      </c>
      <c r="F6" s="131" t="s">
        <v>557</v>
      </c>
      <c r="G6" s="126" t="str">
        <f>IF(ISBLANK(E6),"",IF(ISTEXT(E6),E6,IF(E6&lt;9,"Tak","Nie")))</f>
        <v>Nie</v>
      </c>
      <c r="H6" s="231" t="str">
        <f t="shared" si="0"/>
        <v>Zbyt stroma pochylnia. Należy zapewnić nachylenie zgodne z przepisami.</v>
      </c>
      <c r="I6" s="16" t="str">
        <f t="shared" si="1"/>
        <v>Nie</v>
      </c>
    </row>
    <row r="7" spans="1:12" ht="135" x14ac:dyDescent="0.25">
      <c r="A7" s="256"/>
      <c r="B7" s="231" t="s">
        <v>231</v>
      </c>
      <c r="C7" s="231" t="s">
        <v>231</v>
      </c>
      <c r="D7" s="237" t="s">
        <v>356</v>
      </c>
      <c r="E7" s="130" t="s">
        <v>528</v>
      </c>
      <c r="F7" s="131"/>
      <c r="G7" s="126" t="str">
        <f>IF(ISBLANK(E7),"",IF(ISTEXT(E7),E7,IF(E7&lt;9,"Tak","Nie")))</f>
        <v>nie  dotyczy</v>
      </c>
      <c r="H7" s="231" t="str">
        <f t="shared" si="0"/>
        <v/>
      </c>
      <c r="I7" s="16" t="str">
        <f t="shared" si="1"/>
        <v>nie  dotyczy</v>
      </c>
    </row>
    <row r="8" spans="1:12" ht="135" x14ac:dyDescent="0.25">
      <c r="A8" s="256"/>
      <c r="B8" s="231" t="s">
        <v>232</v>
      </c>
      <c r="C8" s="231" t="s">
        <v>232</v>
      </c>
      <c r="D8" s="237" t="s">
        <v>357</v>
      </c>
      <c r="E8" s="130" t="s">
        <v>526</v>
      </c>
      <c r="F8" s="131"/>
      <c r="G8" s="126" t="str">
        <f>IF(ISBLANK(E8),"",IF(ISTEXT(E8),E8,IF(E8&lt;7,"Tak","Nie")))</f>
        <v>nie dotyczy</v>
      </c>
      <c r="H8" s="231" t="str">
        <f t="shared" si="0"/>
        <v/>
      </c>
      <c r="I8" s="16" t="str">
        <f t="shared" si="1"/>
        <v>nie dotyczy</v>
      </c>
    </row>
    <row r="9" spans="1:12" ht="120" x14ac:dyDescent="0.25">
      <c r="A9" s="233" t="s">
        <v>233</v>
      </c>
      <c r="B9" s="233" t="s">
        <v>234</v>
      </c>
      <c r="C9" s="233" t="s">
        <v>235</v>
      </c>
      <c r="D9" s="94" t="s">
        <v>358</v>
      </c>
      <c r="E9" s="172">
        <v>304</v>
      </c>
      <c r="F9" s="176"/>
      <c r="G9" s="98" t="str">
        <f>IF(ISBLANK(E9),"",IF(ISTEXT(E9),E9,IF(E9&lt;120,"Nie","Tak")))</f>
        <v>Tak</v>
      </c>
      <c r="H9" s="233" t="str">
        <f>IF(G9="nie","Zbyt wąski bieg. Należy zapewnić właściwą szerokość.","")</f>
        <v/>
      </c>
      <c r="I9" s="6" t="str">
        <f t="shared" si="1"/>
        <v>Tak</v>
      </c>
    </row>
    <row r="10" spans="1:12" ht="60" x14ac:dyDescent="0.25">
      <c r="A10" s="232" t="s">
        <v>236</v>
      </c>
      <c r="B10" s="232" t="s">
        <v>237</v>
      </c>
      <c r="C10" s="232" t="s">
        <v>238</v>
      </c>
      <c r="D10" s="125" t="s">
        <v>360</v>
      </c>
      <c r="E10" s="132">
        <v>304</v>
      </c>
      <c r="F10" s="105"/>
      <c r="G10" s="126" t="str">
        <f>IF(ISBLANK(E10),"",IF(ISTEXT(E10),E10,IF(E10&gt;9,"Nie","Tak")))</f>
        <v>Nie</v>
      </c>
      <c r="H10" s="232" t="str">
        <f>IF(G10="NIE","Zbyt długi bieg pojedynczego odcinka pochylni. Należy zapewnić pochylnię zgodną z przepisami.","")</f>
        <v>Zbyt długi bieg pojedynczego odcinka pochylni. Należy zapewnić pochylnię zgodną z przepisami.</v>
      </c>
      <c r="I10" s="16" t="str">
        <f>IF(ISBLANK(E10),"",IF(ISTEXT(E10),E10,IF(E10&gt;8,"Nie","Tak")))</f>
        <v>Nie</v>
      </c>
    </row>
    <row r="11" spans="1:12" ht="30" x14ac:dyDescent="0.25">
      <c r="A11" s="233" t="s">
        <v>362</v>
      </c>
      <c r="B11" s="233" t="s">
        <v>239</v>
      </c>
      <c r="C11" s="233" t="s">
        <v>240</v>
      </c>
      <c r="D11" s="94" t="s">
        <v>359</v>
      </c>
      <c r="E11" s="172" t="s">
        <v>526</v>
      </c>
      <c r="F11" s="176"/>
      <c r="G11" s="98" t="str">
        <f>IF(ISBLANK(E11),"",IF(ISTEXT(E11),E11,IF(E11&lt;140,"Nie","Tak")))</f>
        <v>nie dotyczy</v>
      </c>
      <c r="H11" s="233" t="str">
        <f>IF(G11="nie","Niewystarczająca długość spocznika pośredniego.","")</f>
        <v/>
      </c>
      <c r="I11" s="6" t="str">
        <f>IF(ISBLANK(E11),"",IF(ISTEXT(E11),E11,IF(E11&lt;150,"Nie","Tak")))</f>
        <v>nie dotyczy</v>
      </c>
    </row>
    <row r="12" spans="1:12" ht="30" x14ac:dyDescent="0.25">
      <c r="A12" s="232" t="s">
        <v>241</v>
      </c>
      <c r="B12" s="232" t="s">
        <v>294</v>
      </c>
      <c r="C12" s="232" t="s">
        <v>294</v>
      </c>
      <c r="D12" s="125" t="s">
        <v>361</v>
      </c>
      <c r="E12" s="132">
        <v>150</v>
      </c>
      <c r="F12" s="105"/>
      <c r="G12" s="126" t="str">
        <f>IF(ISBLANK(E12),"",IF(ISTEXT(E12),E12,IF(E12&lt;120,"Nie","Tak")))</f>
        <v>Tak</v>
      </c>
      <c r="H12" s="232" t="str">
        <f>IF(G12="nie","Zbyt wąski spocznik. Należy zapewnić właściwą szerokość.","")</f>
        <v/>
      </c>
      <c r="I12" s="168" t="str">
        <f>IF(ISBLANK(E12),"",IF(ISTEXT(E12),E12,IF(E12&lt;120,"Nie","Tak")))</f>
        <v>Tak</v>
      </c>
    </row>
    <row r="13" spans="1:12" ht="90.6" customHeight="1" x14ac:dyDescent="0.25">
      <c r="A13" s="233" t="s">
        <v>296</v>
      </c>
      <c r="B13" s="233" t="s">
        <v>242</v>
      </c>
      <c r="C13" s="233" t="s">
        <v>242</v>
      </c>
      <c r="D13" s="94" t="s">
        <v>295</v>
      </c>
      <c r="E13" s="225" t="s">
        <v>526</v>
      </c>
      <c r="F13" s="176"/>
      <c r="G13" s="98" t="str">
        <f>IF(ISBLANK(E13),"",IF(E13="nie dotyczy",E13,IF(OR(VALUE(RIGHT(E13,RIGHT(LEN(E13)-FIND("/",E13))))&lt;150,VALUE(LEFT(E13,FIND("/",E13)-1))&lt;150),"Nie","Tak")))</f>
        <v>nie dotyczy</v>
      </c>
      <c r="H13" s="233" t="str">
        <f>IF(ISBLANK(E13),"",IF(G13="tak","",IF(G13="nie dotyczy",E13,"Wymiary spocznika nie spełniają wymogów minimalnych. Należy powiększyć spocznik.")))</f>
        <v>nie dotyczy</v>
      </c>
      <c r="I13" s="6" t="str">
        <f>G13</f>
        <v>nie dotyczy</v>
      </c>
      <c r="J13" s="71"/>
      <c r="K13" s="72"/>
      <c r="L13" s="71"/>
    </row>
    <row r="14" spans="1:12" ht="127.9" customHeight="1" x14ac:dyDescent="0.25">
      <c r="A14" s="232" t="s">
        <v>243</v>
      </c>
      <c r="B14" s="232" t="s">
        <v>244</v>
      </c>
      <c r="C14" s="232" t="s">
        <v>3</v>
      </c>
      <c r="D14" s="125" t="s">
        <v>510</v>
      </c>
      <c r="E14" s="132">
        <v>150</v>
      </c>
      <c r="F14" s="105"/>
      <c r="G14" s="126" t="str">
        <f>IF(ISBLANK(E14),"",IF(ISTEXT(E14),E14,IF(E14&lt;150,"Nie","Tak")))</f>
        <v>Tak</v>
      </c>
      <c r="H14" s="232" t="str">
        <f>IF(ISBLANK(E14),"",IF(G14="tak","",_xlfn.CONCAT("Niewystarczająca ",A14)))</f>
        <v/>
      </c>
      <c r="I14" s="16" t="str">
        <f>IF(ISBLANK(E14),"",IF(E14&lt;150,"Nie","Tak"))</f>
        <v>Tak</v>
      </c>
    </row>
    <row r="15" spans="1:12" ht="135" x14ac:dyDescent="0.25">
      <c r="A15" s="233" t="s">
        <v>245</v>
      </c>
      <c r="B15" s="233" t="s">
        <v>246</v>
      </c>
      <c r="C15" s="233" t="s">
        <v>247</v>
      </c>
      <c r="D15" s="94" t="s">
        <v>363</v>
      </c>
      <c r="E15" s="172" t="s">
        <v>526</v>
      </c>
      <c r="F15" s="176"/>
      <c r="G15" s="98" t="str">
        <f>IF(ISBLANK(E15),"",IF(ISTEXT(E15),E15,IF(E15&lt;7,"Nie","Tak")))</f>
        <v>nie dotyczy</v>
      </c>
      <c r="H15" s="233" t="str">
        <f>IF(ISBLANK(E15),"",IF(G15="tak","",_xlfn.CONCAT("Niewystarczająca ",A15)))</f>
        <v>Niewystarczająca Wysokość krawężników</v>
      </c>
      <c r="I15" s="6" t="str">
        <f>G15</f>
        <v>nie dotyczy</v>
      </c>
    </row>
    <row r="16" spans="1:12" ht="30" x14ac:dyDescent="0.25">
      <c r="A16" s="232" t="s">
        <v>248</v>
      </c>
      <c r="B16" s="232" t="s">
        <v>249</v>
      </c>
      <c r="C16" s="232" t="s">
        <v>249</v>
      </c>
      <c r="D16" s="237" t="s">
        <v>364</v>
      </c>
      <c r="E16" s="101" t="s">
        <v>525</v>
      </c>
      <c r="F16" s="105"/>
      <c r="G16" s="126" t="str">
        <f>IF(ISBLANK(E16),"",IF(ISTEXT(E16),E16,IF(E16="nie","Nie","Tak")))</f>
        <v>tak</v>
      </c>
      <c r="H16" s="232" t="str">
        <f>IF(E16="nie","Brak poręczy po obu stronach pochylni jest poważnym utrudnieniem. Należy zapewnić poręcze po obu stronach.","")</f>
        <v/>
      </c>
      <c r="I16" s="16" t="str">
        <f t="shared" ref="I16:I21" si="2">G16</f>
        <v>tak</v>
      </c>
    </row>
    <row r="17" spans="1:9" ht="30" x14ac:dyDescent="0.25">
      <c r="A17" s="244" t="s">
        <v>250</v>
      </c>
      <c r="B17" s="233" t="s">
        <v>251</v>
      </c>
      <c r="C17" s="233" t="s">
        <v>251</v>
      </c>
      <c r="D17" s="94" t="s">
        <v>365</v>
      </c>
      <c r="E17" s="172">
        <v>75</v>
      </c>
      <c r="F17" s="176"/>
      <c r="G17" s="98" t="str">
        <f>IF(ISBLANK(E17),"",IF(ISTEXT(E17),E17,IF(E17&lt;&gt;75,"Nie","Tak")))</f>
        <v>Tak</v>
      </c>
      <c r="H17" s="233" t="str">
        <f>IF(G17="Tak","",IF(G17="Nie","Brak poręczy jest poważnym utrudnieniem. Należy zamontować poręcz.",""))</f>
        <v/>
      </c>
      <c r="I17" s="6" t="str">
        <f t="shared" si="2"/>
        <v>Tak</v>
      </c>
    </row>
    <row r="18" spans="1:9" ht="45" x14ac:dyDescent="0.25">
      <c r="A18" s="246"/>
      <c r="B18" s="233" t="s">
        <v>252</v>
      </c>
      <c r="C18" s="233" t="s">
        <v>252</v>
      </c>
      <c r="D18" s="94" t="s">
        <v>366</v>
      </c>
      <c r="E18" s="172">
        <v>87</v>
      </c>
      <c r="F18" s="176"/>
      <c r="G18" s="98" t="str">
        <f>IF(ISBLANK(E18),"",IF(ISTEXT(E18),E18,IF(E18&lt;&gt;90,"Nie","Tak")))</f>
        <v>Nie</v>
      </c>
      <c r="H18" s="233" t="str">
        <f>IF(G18="Tak","",IF(G18="Nie","Brak poręczy jest poważnym utrudnieniem. Należy zamontować poręcz.",""))</f>
        <v>Brak poręczy jest poważnym utrudnieniem. Należy zamontować poręcz.</v>
      </c>
      <c r="I18" s="6" t="str">
        <f t="shared" si="2"/>
        <v>Nie</v>
      </c>
    </row>
    <row r="19" spans="1:9" ht="30" x14ac:dyDescent="0.25">
      <c r="A19" s="232" t="s">
        <v>253</v>
      </c>
      <c r="B19" s="232" t="s">
        <v>254</v>
      </c>
      <c r="C19" s="232" t="s">
        <v>254</v>
      </c>
      <c r="D19" s="125" t="s">
        <v>366</v>
      </c>
      <c r="E19" s="132">
        <v>103</v>
      </c>
      <c r="F19" s="105"/>
      <c r="G19" s="126" t="str">
        <f>IF(ISBLANK(E19),"",IF(ISTEXT(E19),E19,IF(AND(E19&gt;99,E19&lt;111),"Tak","Nie")))</f>
        <v>Tak</v>
      </c>
      <c r="H19" s="73" t="str">
        <f>IF(G19="Tak","",IF(G19="Nie","Niewłaściwa odległość między poręczami.",""))</f>
        <v/>
      </c>
      <c r="I19" s="16" t="str">
        <f t="shared" si="2"/>
        <v>Tak</v>
      </c>
    </row>
    <row r="20" spans="1:9" ht="131.44999999999999" customHeight="1" x14ac:dyDescent="0.25">
      <c r="A20" s="233" t="s">
        <v>255</v>
      </c>
      <c r="B20" s="233" t="s">
        <v>256</v>
      </c>
      <c r="C20" s="233" t="s">
        <v>257</v>
      </c>
      <c r="D20" s="94" t="s">
        <v>367</v>
      </c>
      <c r="E20" s="172">
        <v>14</v>
      </c>
      <c r="F20" s="176"/>
      <c r="G20" s="98" t="str">
        <f>IF(ISBLANK(E20),"",IF(ISTEXT(E20),E20,IF(E20&lt;&gt;3.5,"Nie","Tak")))</f>
        <v>Nie</v>
      </c>
      <c r="H20" s="233" t="str">
        <f>IF(G20="Tak","",IF(G20="Nie","Niewłaściwa średnica lub kształt części chwytnej poręczy lub brak poręczy. Należy zapewnić poręcz zgodną z przepisami.",""))</f>
        <v>Niewłaściwa średnica lub kształt części chwytnej poręczy lub brak poręczy. Należy zapewnić poręcz zgodną z przepisami.</v>
      </c>
      <c r="I20" s="6" t="str">
        <f>IF(ISBLANK(E20),"",IF(OR(E20&gt;4.5,E20&lt;3.5),"Nie","Tak"))</f>
        <v>Nie</v>
      </c>
    </row>
    <row r="21" spans="1:9" ht="45" x14ac:dyDescent="0.25">
      <c r="A21" s="232" t="s">
        <v>258</v>
      </c>
      <c r="B21" s="232" t="s">
        <v>259</v>
      </c>
      <c r="C21" s="232" t="s">
        <v>259</v>
      </c>
      <c r="D21" s="163" t="s">
        <v>511</v>
      </c>
      <c r="E21" s="132">
        <v>20</v>
      </c>
      <c r="F21" s="105"/>
      <c r="G21" s="126" t="str">
        <f>IF(ISBLANK(E21),"",IF(ISTEXT(E21),E21,IF(E21&lt;5,"Nie","Tak")))</f>
        <v>Tak</v>
      </c>
      <c r="H21" s="73" t="str">
        <f>IF(G21="Tak","",IF(G21="Nie","Niewłaściwa odległość poręczy od ściany.",""))</f>
        <v/>
      </c>
      <c r="I21" s="16" t="str">
        <f t="shared" si="2"/>
        <v>Tak</v>
      </c>
    </row>
    <row r="22" spans="1:9" ht="102" customHeight="1" x14ac:dyDescent="0.25">
      <c r="A22" s="262" t="s">
        <v>320</v>
      </c>
      <c r="B22" s="233" t="s">
        <v>319</v>
      </c>
      <c r="C22" s="233"/>
      <c r="D22" s="94" t="s">
        <v>368</v>
      </c>
      <c r="E22" s="172" t="s">
        <v>125</v>
      </c>
      <c r="F22" s="176"/>
      <c r="G22" s="235" t="str">
        <f>IF(ISBLANK(E22),"",E22)</f>
        <v>Nie</v>
      </c>
      <c r="H22" s="233" t="str">
        <f>IF(ISBLANK(E22),"",IF(G22="tak","","Brak oznaczeń fakturowych/kolorystycznych spoczników."))</f>
        <v>Brak oznaczeń fakturowych/kolorystycznych spoczników.</v>
      </c>
      <c r="I22" s="79" t="s">
        <v>145</v>
      </c>
    </row>
    <row r="23" spans="1:9" ht="95.45" customHeight="1" thickBot="1" x14ac:dyDescent="0.3">
      <c r="A23" s="262"/>
      <c r="B23" s="233"/>
      <c r="C23" s="233" t="s">
        <v>321</v>
      </c>
      <c r="D23" s="94" t="s">
        <v>369</v>
      </c>
      <c r="E23" s="174" t="s">
        <v>125</v>
      </c>
      <c r="F23" s="175"/>
      <c r="G23" s="235" t="s">
        <v>145</v>
      </c>
      <c r="H23" s="233" t="str">
        <f>IF(ISBLANK(E23),"",IF(G23="tak","","Brak pasów fakturowych."))</f>
        <v>Brak pasów fakturowych.</v>
      </c>
      <c r="I23" s="79" t="str">
        <f>IF(ISBLANK(E23),"",E23)</f>
        <v>Nie</v>
      </c>
    </row>
    <row r="24" spans="1:9" x14ac:dyDescent="0.25">
      <c r="E24" s="74"/>
    </row>
  </sheetData>
  <sheetProtection sheet="1" objects="1" scenarios="1"/>
  <protectedRanges>
    <protectedRange sqref="E4:F23 D10" name="Rozstęp1"/>
  </protectedRanges>
  <mergeCells count="6">
    <mergeCell ref="A22:A23"/>
    <mergeCell ref="B1:I1"/>
    <mergeCell ref="A2:D2"/>
    <mergeCell ref="E2:I2"/>
    <mergeCell ref="A4:A8"/>
    <mergeCell ref="A17:A1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A8DA4C7-6B34-485B-A4FD-2A48AEC7F9C3}">
          <x14:formula1>
            <xm:f>'Dane do list rozwijanych'!$A$8:$A$9</xm:f>
          </x14:formula1>
          <xm:sqref>E2:I2</xm:sqref>
        </x14:dataValidation>
        <x14:dataValidation type="list" allowBlank="1" showInputMessage="1" showErrorMessage="1" xr:uid="{4237ABF4-C160-45D7-A151-34235E7AB5DD}">
          <x14:formula1>
            <xm:f>'Dane do list rozwijanych'!$A$2:$A$4</xm:f>
          </x14:formula1>
          <xm:sqref>E22:E23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4"/>
  <sheetViews>
    <sheetView topLeftCell="A15" zoomScale="84" zoomScaleNormal="84" workbookViewId="0">
      <selection activeCell="E23" sqref="E23"/>
    </sheetView>
  </sheetViews>
  <sheetFormatPr defaultColWidth="8.85546875" defaultRowHeight="15" x14ac:dyDescent="0.25"/>
  <cols>
    <col min="1" max="1" width="25.7109375" style="11" customWidth="1"/>
    <col min="2" max="2" width="27.140625" style="11" customWidth="1"/>
    <col min="3" max="3" width="22.85546875" style="11" customWidth="1"/>
    <col min="4" max="4" width="26" style="11" customWidth="1"/>
    <col min="5" max="5" width="16.7109375" style="11" customWidth="1"/>
    <col min="6" max="6" width="20.5703125" style="11" customWidth="1"/>
    <col min="7" max="7" width="13.5703125" style="12" customWidth="1"/>
    <col min="8" max="8" width="30.28515625" style="11" customWidth="1"/>
    <col min="9" max="9" width="33.28515625" style="12" customWidth="1"/>
    <col min="10" max="10" width="20" style="11" customWidth="1"/>
    <col min="11" max="16384" width="8.85546875" style="11"/>
  </cols>
  <sheetData>
    <row r="1" spans="1:12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12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12" ht="4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12" ht="135" x14ac:dyDescent="0.25">
      <c r="A4" s="263" t="s">
        <v>225</v>
      </c>
      <c r="B4" s="29" t="s">
        <v>226</v>
      </c>
      <c r="C4" s="29" t="s">
        <v>227</v>
      </c>
      <c r="D4" s="124" t="s">
        <v>354</v>
      </c>
      <c r="E4" s="128" t="s">
        <v>526</v>
      </c>
      <c r="F4" s="129"/>
      <c r="G4" s="126" t="str">
        <f>IF(ISBLANK(E4),"",IF(ISTEXT(E4),E4,IF(E4&lt;16,"Tak","Nie")))</f>
        <v>nie dotyczy</v>
      </c>
      <c r="H4" s="29" t="str">
        <f>IF(G4="Nie","Zbyt stroma pochylnia. Należy zapewnić nachylenie zgodne z przepisami.","")</f>
        <v/>
      </c>
      <c r="I4" s="16" t="str">
        <f>IF(ISBLANK(C4),"",G4)</f>
        <v>nie dotyczy</v>
      </c>
    </row>
    <row r="5" spans="1:12" ht="135" x14ac:dyDescent="0.25">
      <c r="A5" s="256"/>
      <c r="B5" s="29" t="s">
        <v>228</v>
      </c>
      <c r="C5" s="29" t="s">
        <v>228</v>
      </c>
      <c r="D5" s="124" t="s">
        <v>353</v>
      </c>
      <c r="E5" s="130" t="s">
        <v>526</v>
      </c>
      <c r="F5" s="131"/>
      <c r="G5" s="126" t="str">
        <f>IF(ISBLANK(E5),"",IF(ISTEXT(E5),E5,IF(E5&lt;11,"Tak","Nie")))</f>
        <v>nie dotyczy</v>
      </c>
      <c r="H5" s="29" t="str">
        <f t="shared" ref="H5:H8" si="0">IF(G5="Nie","Zbyt stroma pochylnia. Należy zapewnić nachylenie zgodne z przepisami.","")</f>
        <v/>
      </c>
      <c r="I5" s="16" t="str">
        <f t="shared" ref="I5:I9" si="1">IF(ISBLANK(C5),"",G5)</f>
        <v>nie dotyczy</v>
      </c>
    </row>
    <row r="6" spans="1:12" ht="135" x14ac:dyDescent="0.25">
      <c r="A6" s="256"/>
      <c r="B6" s="29" t="s">
        <v>229</v>
      </c>
      <c r="C6" s="29" t="s">
        <v>230</v>
      </c>
      <c r="D6" s="124" t="s">
        <v>355</v>
      </c>
      <c r="E6" s="130">
        <v>32.5</v>
      </c>
      <c r="F6" s="131" t="s">
        <v>527</v>
      </c>
      <c r="G6" s="126" t="str">
        <f>IF(ISBLANK(E6),"",IF(ISTEXT(E6),E6,IF(E6&lt;9,"Tak","Nie")))</f>
        <v>Nie</v>
      </c>
      <c r="H6" s="29" t="str">
        <f t="shared" si="0"/>
        <v>Zbyt stroma pochylnia. Należy zapewnić nachylenie zgodne z przepisami.</v>
      </c>
      <c r="I6" s="16" t="str">
        <f t="shared" si="1"/>
        <v>Nie</v>
      </c>
    </row>
    <row r="7" spans="1:12" ht="135" x14ac:dyDescent="0.25">
      <c r="A7" s="256"/>
      <c r="B7" s="29" t="s">
        <v>231</v>
      </c>
      <c r="C7" s="29" t="s">
        <v>231</v>
      </c>
      <c r="D7" s="124" t="s">
        <v>356</v>
      </c>
      <c r="E7" s="130" t="s">
        <v>528</v>
      </c>
      <c r="F7" s="131"/>
      <c r="G7" s="126" t="str">
        <f>IF(ISBLANK(E7),"",IF(ISTEXT(E7),E7,IF(E7&lt;9,"Tak","Nie")))</f>
        <v>nie  dotyczy</v>
      </c>
      <c r="H7" s="29" t="str">
        <f t="shared" si="0"/>
        <v/>
      </c>
      <c r="I7" s="16" t="str">
        <f t="shared" si="1"/>
        <v>nie  dotyczy</v>
      </c>
    </row>
    <row r="8" spans="1:12" ht="135" x14ac:dyDescent="0.25">
      <c r="A8" s="256"/>
      <c r="B8" s="29" t="s">
        <v>232</v>
      </c>
      <c r="C8" s="29" t="s">
        <v>232</v>
      </c>
      <c r="D8" s="124" t="s">
        <v>357</v>
      </c>
      <c r="E8" s="130" t="s">
        <v>526</v>
      </c>
      <c r="F8" s="131"/>
      <c r="G8" s="126" t="str">
        <f>IF(ISBLANK(E8),"",IF(ISTEXT(E8),E8,IF(E8&lt;7,"Tak","Nie")))</f>
        <v>nie dotyczy</v>
      </c>
      <c r="H8" s="29" t="str">
        <f t="shared" si="0"/>
        <v/>
      </c>
      <c r="I8" s="16" t="str">
        <f t="shared" si="1"/>
        <v>nie dotyczy</v>
      </c>
    </row>
    <row r="9" spans="1:12" ht="120" x14ac:dyDescent="0.25">
      <c r="A9" s="5" t="s">
        <v>233</v>
      </c>
      <c r="B9" s="5" t="s">
        <v>234</v>
      </c>
      <c r="C9" s="5" t="s">
        <v>235</v>
      </c>
      <c r="D9" s="94" t="s">
        <v>358</v>
      </c>
      <c r="E9" s="172">
        <v>171</v>
      </c>
      <c r="F9" s="176"/>
      <c r="G9" s="98" t="str">
        <f>IF(ISBLANK(E9),"",IF(ISTEXT(E9),E9,IF(E9&lt;120,"Nie","Tak")))</f>
        <v>Tak</v>
      </c>
      <c r="H9" s="5" t="str">
        <f>IF(G9="nie","Zbyt wąski bieg. Należy zapewnić właściwą szerokość.","")</f>
        <v/>
      </c>
      <c r="I9" s="6" t="str">
        <f t="shared" si="1"/>
        <v>Tak</v>
      </c>
    </row>
    <row r="10" spans="1:12" ht="60" x14ac:dyDescent="0.25">
      <c r="A10" s="1" t="s">
        <v>236</v>
      </c>
      <c r="B10" s="1" t="s">
        <v>237</v>
      </c>
      <c r="C10" s="1" t="s">
        <v>238</v>
      </c>
      <c r="D10" s="125" t="s">
        <v>360</v>
      </c>
      <c r="E10" s="132">
        <v>150</v>
      </c>
      <c r="F10" s="105"/>
      <c r="G10" s="126" t="str">
        <f>IF(ISBLANK(E10),"",IF(ISTEXT(E10),E10,IF(E10&gt;9,"Nie","Tak")))</f>
        <v>Nie</v>
      </c>
      <c r="H10" s="1" t="str">
        <f>IF(G10="NIE","Zbyt długi bieg pojedynczego odcinka pochylni. Należy zapewnić pochylnię zgodną z przepisami.","")</f>
        <v>Zbyt długi bieg pojedynczego odcinka pochylni. Należy zapewnić pochylnię zgodną z przepisami.</v>
      </c>
      <c r="I10" s="16" t="str">
        <f>IF(ISBLANK(E10),"",IF(ISTEXT(E10),E10,IF(E10&gt;8,"Nie","Tak")))</f>
        <v>Nie</v>
      </c>
    </row>
    <row r="11" spans="1:12" ht="30" x14ac:dyDescent="0.25">
      <c r="A11" s="5" t="s">
        <v>362</v>
      </c>
      <c r="B11" s="5" t="s">
        <v>239</v>
      </c>
      <c r="C11" s="5" t="s">
        <v>240</v>
      </c>
      <c r="D11" s="94" t="s">
        <v>359</v>
      </c>
      <c r="E11" s="172" t="s">
        <v>526</v>
      </c>
      <c r="F11" s="176"/>
      <c r="G11" s="98" t="str">
        <f>IF(ISBLANK(E11),"",IF(ISTEXT(E11),E11,IF(E11&lt;140,"Nie","Tak")))</f>
        <v>nie dotyczy</v>
      </c>
      <c r="H11" s="5" t="str">
        <f>IF(G11="nie","Niewystarczająca długość spocznika pośredniego.","")</f>
        <v/>
      </c>
      <c r="I11" s="6" t="str">
        <f>IF(ISBLANK(E11),"",IF(ISTEXT(E11),E11,IF(E11&lt;150,"Nie","Tak")))</f>
        <v>nie dotyczy</v>
      </c>
    </row>
    <row r="12" spans="1:12" ht="30" x14ac:dyDescent="0.25">
      <c r="A12" s="1" t="s">
        <v>241</v>
      </c>
      <c r="B12" s="1" t="s">
        <v>294</v>
      </c>
      <c r="C12" s="1" t="s">
        <v>294</v>
      </c>
      <c r="D12" s="125" t="s">
        <v>361</v>
      </c>
      <c r="E12" s="132">
        <v>150</v>
      </c>
      <c r="F12" s="105"/>
      <c r="G12" s="126" t="str">
        <f>IF(ISBLANK(E12),"",IF(ISTEXT(E12),E12,IF(E12&lt;120,"Nie","Tak")))</f>
        <v>Tak</v>
      </c>
      <c r="H12" s="1" t="str">
        <f>IF(G12="nie","Zbyt wąski spocznik. Należy zapewnić właściwą szerokość.","")</f>
        <v/>
      </c>
      <c r="I12" s="168" t="str">
        <f>IF(ISBLANK(E12),"",IF(ISTEXT(E12),E12,IF(E12&lt;120,"Nie","Tak")))</f>
        <v>Tak</v>
      </c>
    </row>
    <row r="13" spans="1:12" ht="90.6" customHeight="1" x14ac:dyDescent="0.25">
      <c r="A13" s="5" t="s">
        <v>296</v>
      </c>
      <c r="B13" s="5" t="s">
        <v>242</v>
      </c>
      <c r="C13" s="5" t="s">
        <v>242</v>
      </c>
      <c r="D13" s="94" t="s">
        <v>295</v>
      </c>
      <c r="E13" s="225" t="s">
        <v>526</v>
      </c>
      <c r="F13" s="176"/>
      <c r="G13" s="98" t="str">
        <f>IF(ISBLANK(E13),"",IF(E13="nie dotyczy",E13,IF(OR(VALUE(RIGHT(E13,RIGHT(LEN(E13)-FIND("/",E13))))&lt;150,VALUE(LEFT(E13,FIND("/",E13)-1))&lt;150),"Nie","Tak")))</f>
        <v>nie dotyczy</v>
      </c>
      <c r="H13" s="5" t="str">
        <f>IF(ISBLANK(E13),"",IF(G13="tak","",IF(G13="nie dotyczy",E13,"Wymiary spocznika nie spełniają wymogów minimalnych. Należy powiększyć spocznik.")))</f>
        <v>nie dotyczy</v>
      </c>
      <c r="I13" s="6" t="str">
        <f>G13</f>
        <v>nie dotyczy</v>
      </c>
      <c r="J13" s="71"/>
      <c r="K13" s="72"/>
      <c r="L13" s="71"/>
    </row>
    <row r="14" spans="1:12" ht="127.9" customHeight="1" x14ac:dyDescent="0.25">
      <c r="A14" s="1" t="s">
        <v>243</v>
      </c>
      <c r="B14" s="1" t="s">
        <v>244</v>
      </c>
      <c r="C14" s="1" t="s">
        <v>3</v>
      </c>
      <c r="D14" s="125" t="s">
        <v>510</v>
      </c>
      <c r="E14" s="132">
        <v>150</v>
      </c>
      <c r="F14" s="105"/>
      <c r="G14" s="126" t="str">
        <f>IF(ISBLANK(E14),"",IF(ISTEXT(E14),E14,IF(E14&lt;150,"Nie","Tak")))</f>
        <v>Tak</v>
      </c>
      <c r="H14" s="1" t="str">
        <f>IF(ISBLANK(E14),"",IF(G14="tak","",_xlfn.CONCAT("Niewystarczająca ",A14)))</f>
        <v/>
      </c>
      <c r="I14" s="16" t="str">
        <f>IF(ISBLANK(E14),"",IF(E14&lt;150,"Nie","Tak"))</f>
        <v>Tak</v>
      </c>
    </row>
    <row r="15" spans="1:12" ht="135" x14ac:dyDescent="0.25">
      <c r="A15" s="5" t="s">
        <v>245</v>
      </c>
      <c r="B15" s="5" t="s">
        <v>246</v>
      </c>
      <c r="C15" s="5" t="s">
        <v>247</v>
      </c>
      <c r="D15" s="94" t="s">
        <v>363</v>
      </c>
      <c r="E15" s="172" t="s">
        <v>526</v>
      </c>
      <c r="F15" s="176"/>
      <c r="G15" s="98" t="str">
        <f>IF(ISBLANK(E15),"",IF(ISTEXT(E15),E15,IF(E15&lt;7,"Nie","Tak")))</f>
        <v>nie dotyczy</v>
      </c>
      <c r="H15" s="5" t="str">
        <f>IF(ISBLANK(E15),"",IF(G15="tak","",_xlfn.CONCAT("Niewystarczająca ",A15)))</f>
        <v>Niewystarczająca Wysokość krawężników</v>
      </c>
      <c r="I15" s="6" t="str">
        <f>G15</f>
        <v>nie dotyczy</v>
      </c>
    </row>
    <row r="16" spans="1:12" ht="30" x14ac:dyDescent="0.25">
      <c r="A16" s="1" t="s">
        <v>248</v>
      </c>
      <c r="B16" s="1" t="s">
        <v>249</v>
      </c>
      <c r="C16" s="1" t="s">
        <v>249</v>
      </c>
      <c r="D16" s="124" t="s">
        <v>364</v>
      </c>
      <c r="E16" s="101" t="s">
        <v>526</v>
      </c>
      <c r="F16" s="105"/>
      <c r="G16" s="126" t="str">
        <f>IF(ISBLANK(E16),"",IF(ISTEXT(E16),E16,IF(E16="nie","Nie","Tak")))</f>
        <v>nie dotyczy</v>
      </c>
      <c r="H16" s="1" t="str">
        <f>IF(E16="nie","Brak poręczy po obu stronach pochylni jest poważnym utrudnieniem. Należy zapewnić poręcze po obu stronach.","")</f>
        <v/>
      </c>
      <c r="I16" s="16" t="str">
        <f t="shared" ref="I16:I21" si="2">G16</f>
        <v>nie dotyczy</v>
      </c>
    </row>
    <row r="17" spans="1:9" ht="30" x14ac:dyDescent="0.25">
      <c r="A17" s="244" t="s">
        <v>250</v>
      </c>
      <c r="B17" s="5" t="s">
        <v>251</v>
      </c>
      <c r="C17" s="5" t="s">
        <v>251</v>
      </c>
      <c r="D17" s="94" t="s">
        <v>365</v>
      </c>
      <c r="E17" s="172" t="s">
        <v>526</v>
      </c>
      <c r="F17" s="176"/>
      <c r="G17" s="98" t="str">
        <f>IF(ISBLANK(E17),"",IF(ISTEXT(E17),E17,IF(E17&lt;&gt;75,"Nie","Tak")))</f>
        <v>nie dotyczy</v>
      </c>
      <c r="H17" s="5" t="str">
        <f>IF(G17="Tak","",IF(G17="Nie","Brak poręczy jest poważnym utrudnieniem. Należy zamontować poręcz.",""))</f>
        <v/>
      </c>
      <c r="I17" s="6" t="str">
        <f t="shared" si="2"/>
        <v>nie dotyczy</v>
      </c>
    </row>
    <row r="18" spans="1:9" ht="30" x14ac:dyDescent="0.25">
      <c r="A18" s="246"/>
      <c r="B18" s="5" t="s">
        <v>252</v>
      </c>
      <c r="C18" s="5" t="s">
        <v>252</v>
      </c>
      <c r="D18" s="94" t="s">
        <v>366</v>
      </c>
      <c r="E18" s="172" t="s">
        <v>526</v>
      </c>
      <c r="F18" s="176"/>
      <c r="G18" s="98" t="str">
        <f>IF(ISBLANK(E18),"",IF(ISTEXT(E18),E18,IF(E18&lt;&gt;90,"Nie","Tak")))</f>
        <v>nie dotyczy</v>
      </c>
      <c r="H18" s="53" t="str">
        <f>IF(G18="Tak","",IF(G18="Nie","Brak poręczy jest poważnym utrudnieniem. Należy zamontować poręcz.",""))</f>
        <v/>
      </c>
      <c r="I18" s="6" t="str">
        <f t="shared" si="2"/>
        <v>nie dotyczy</v>
      </c>
    </row>
    <row r="19" spans="1:9" ht="30" x14ac:dyDescent="0.25">
      <c r="A19" s="1" t="s">
        <v>253</v>
      </c>
      <c r="B19" s="1" t="s">
        <v>254</v>
      </c>
      <c r="C19" s="1" t="s">
        <v>254</v>
      </c>
      <c r="D19" s="125" t="s">
        <v>366</v>
      </c>
      <c r="E19" s="132" t="s">
        <v>526</v>
      </c>
      <c r="F19" s="105"/>
      <c r="G19" s="126" t="str">
        <f>IF(ISBLANK(E19),"",IF(ISTEXT(E19),E19,IF(AND(E19&gt;99,E19&lt;111),"Tak","Nie")))</f>
        <v>nie dotyczy</v>
      </c>
      <c r="H19" s="73" t="str">
        <f>IF(G19="Tak","",IF(G19="Nie","Niewłaściwa odległość między poręczami.",""))</f>
        <v/>
      </c>
      <c r="I19" s="16" t="str">
        <f t="shared" si="2"/>
        <v>nie dotyczy</v>
      </c>
    </row>
    <row r="20" spans="1:9" ht="131.44999999999999" customHeight="1" x14ac:dyDescent="0.25">
      <c r="A20" s="5" t="s">
        <v>255</v>
      </c>
      <c r="B20" s="5" t="s">
        <v>256</v>
      </c>
      <c r="C20" s="5" t="s">
        <v>257</v>
      </c>
      <c r="D20" s="94" t="s">
        <v>367</v>
      </c>
      <c r="E20" s="172" t="s">
        <v>526</v>
      </c>
      <c r="F20" s="176"/>
      <c r="G20" s="98" t="str">
        <f>IF(ISBLANK(E20),"",IF(ISTEXT(E20),E20,IF(E20&lt;&gt;3.5,"Nie","Tak")))</f>
        <v>nie dotyczy</v>
      </c>
      <c r="H20" s="53" t="str">
        <f>IF(G20="Tak","",IF(G20="Nie","Niewłaściwa średnica lub kształt części chwytnej poręczy lub brak poręczy. Należy zapewnić poręcz zgodną z przepisami.",""))</f>
        <v/>
      </c>
      <c r="I20" s="6" t="str">
        <f>IF(ISBLANK(E20),"",IF(OR(E20&gt;4.5,E20&lt;3.5),"Nie","Tak"))</f>
        <v>Nie</v>
      </c>
    </row>
    <row r="21" spans="1:9" ht="45" x14ac:dyDescent="0.25">
      <c r="A21" s="1" t="s">
        <v>258</v>
      </c>
      <c r="B21" s="1" t="s">
        <v>259</v>
      </c>
      <c r="C21" s="1" t="s">
        <v>259</v>
      </c>
      <c r="D21" s="163" t="s">
        <v>511</v>
      </c>
      <c r="E21" s="132" t="s">
        <v>526</v>
      </c>
      <c r="F21" s="105"/>
      <c r="G21" s="126" t="str">
        <f>IF(ISBLANK(E21),"",IF(ISTEXT(E21),E21,IF(E21&lt;5,"Nie","Tak")))</f>
        <v>nie dotyczy</v>
      </c>
      <c r="H21" s="73" t="str">
        <f>IF(G21="Tak","",IF(G21="Nie","Niewłaściwa odległość poręczy od ściany.",""))</f>
        <v/>
      </c>
      <c r="I21" s="16" t="str">
        <f t="shared" si="2"/>
        <v>nie dotyczy</v>
      </c>
    </row>
    <row r="22" spans="1:9" ht="102" customHeight="1" x14ac:dyDescent="0.25">
      <c r="A22" s="262" t="s">
        <v>320</v>
      </c>
      <c r="B22" s="53" t="s">
        <v>319</v>
      </c>
      <c r="C22" s="53"/>
      <c r="D22" s="94" t="s">
        <v>368</v>
      </c>
      <c r="E22" s="172" t="s">
        <v>125</v>
      </c>
      <c r="F22" s="176"/>
      <c r="G22" s="111" t="str">
        <f>IF(ISBLANK(E22),"",E22)</f>
        <v>Nie</v>
      </c>
      <c r="H22" s="53" t="str">
        <f>IF(ISBLANK(E22),"",IF(G22="tak","","Brak oznaczeń fakturowych/kolorystycznych spoczników."))</f>
        <v>Brak oznaczeń fakturowych/kolorystycznych spoczników.</v>
      </c>
      <c r="I22" s="7" t="s">
        <v>145</v>
      </c>
    </row>
    <row r="23" spans="1:9" ht="95.45" customHeight="1" thickBot="1" x14ac:dyDescent="0.3">
      <c r="A23" s="262"/>
      <c r="B23" s="53"/>
      <c r="C23" s="53" t="s">
        <v>321</v>
      </c>
      <c r="D23" s="94" t="s">
        <v>369</v>
      </c>
      <c r="E23" s="174" t="s">
        <v>125</v>
      </c>
      <c r="F23" s="175"/>
      <c r="G23" s="111" t="s">
        <v>145</v>
      </c>
      <c r="H23" s="53" t="str">
        <f>IF(ISBLANK(E23),"",IF(G23="tak","","Brak pasów fakturowych."))</f>
        <v>Brak pasów fakturowych.</v>
      </c>
      <c r="I23" s="7" t="str">
        <f>IF(ISBLANK(E23),"",E23)</f>
        <v>Nie</v>
      </c>
    </row>
    <row r="24" spans="1:9" x14ac:dyDescent="0.25">
      <c r="E24" s="74"/>
    </row>
  </sheetData>
  <sheetProtection sheet="1" objects="1" scenarios="1"/>
  <protectedRanges>
    <protectedRange sqref="E4:F23 D10" name="Rozstęp1"/>
  </protectedRanges>
  <mergeCells count="6">
    <mergeCell ref="A4:A8"/>
    <mergeCell ref="A17:A18"/>
    <mergeCell ref="A22:A23"/>
    <mergeCell ref="B1:I1"/>
    <mergeCell ref="A2:D2"/>
    <mergeCell ref="E2:I2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'Dane do list rozwijanych'!$A$2:$A$4</xm:f>
          </x14:formula1>
          <xm:sqref>E22:E23</xm:sqref>
        </x14:dataValidation>
        <x14:dataValidation type="list" allowBlank="1" showInputMessage="1" showErrorMessage="1" xr:uid="{00000000-0002-0000-0200-000001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"/>
  <sheetViews>
    <sheetView zoomScale="89" zoomScaleNormal="89" workbookViewId="0">
      <selection activeCell="L22" sqref="L22"/>
    </sheetView>
  </sheetViews>
  <sheetFormatPr defaultColWidth="8.85546875" defaultRowHeight="15" x14ac:dyDescent="0.25"/>
  <cols>
    <col min="1" max="1" width="24" style="11" customWidth="1"/>
    <col min="2" max="2" width="9.7109375" style="11" customWidth="1"/>
    <col min="3" max="4" width="26.85546875" style="11" customWidth="1"/>
    <col min="5" max="5" width="15.28515625" style="11" customWidth="1"/>
    <col min="6" max="6" width="17.28515625" style="11" customWidth="1"/>
    <col min="7" max="7" width="13.42578125" style="11" customWidth="1"/>
    <col min="8" max="8" width="29.7109375" style="11" customWidth="1"/>
    <col min="9" max="9" width="8.85546875" style="12"/>
    <col min="10" max="10" width="23.28515625" style="11" customWidth="1"/>
    <col min="11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69.599999999999994" customHeight="1" x14ac:dyDescent="0.25">
      <c r="A4" s="264" t="s">
        <v>260</v>
      </c>
      <c r="B4" s="264"/>
      <c r="C4" s="1" t="s">
        <v>322</v>
      </c>
      <c r="D4" s="125" t="s">
        <v>370</v>
      </c>
      <c r="E4" s="161"/>
      <c r="F4" s="129"/>
      <c r="G4" s="266" t="s">
        <v>145</v>
      </c>
      <c r="H4" s="264"/>
      <c r="I4" s="13" t="str">
        <f>IF(ISBLANK(E4),"",IF(E4="nie dotyczy",E4,IF(OR(VALUE(RIGHT(E4,RIGHT(LEN(E4)-FIND("/",E4))))&lt;100,VALUE(LEFT(E4,FIND("/",E4)-1))&lt;80),"Nie","Tak")))</f>
        <v/>
      </c>
    </row>
    <row r="5" spans="1:9" ht="82.15" customHeight="1" x14ac:dyDescent="0.25">
      <c r="A5" s="264"/>
      <c r="B5" s="264"/>
      <c r="C5" s="1" t="s">
        <v>323</v>
      </c>
      <c r="D5" s="125" t="s">
        <v>371</v>
      </c>
      <c r="E5" s="162"/>
      <c r="F5" s="105"/>
      <c r="G5" s="266"/>
      <c r="H5" s="264"/>
      <c r="I5" s="13" t="str">
        <f>IF(ISBLANK(E5),"",IF(E5="Nie dotyczy",E5,IF(E5&gt;299,"Tak","Nie")))</f>
        <v/>
      </c>
    </row>
    <row r="6" spans="1:9" ht="39.6" customHeight="1" x14ac:dyDescent="0.25">
      <c r="A6" s="264"/>
      <c r="B6" s="265"/>
      <c r="C6" s="265" t="s">
        <v>324</v>
      </c>
      <c r="D6" s="94" t="s">
        <v>372</v>
      </c>
      <c r="E6" s="225"/>
      <c r="F6" s="176"/>
      <c r="G6" s="267" t="s">
        <v>145</v>
      </c>
      <c r="H6" s="265"/>
      <c r="I6" s="7" t="str">
        <f>IF(ISBLANK(E6),"",IF(E4="nie dotyczy",E4,IF(OR(VALUE(RIGHT(E6,RIGHT(LEN(E6)-FIND("/",E6))))&lt;120,VALUE(LEFT(E6,FIND("/",E6)-1))&lt;90),"Nie","Tak")))</f>
        <v/>
      </c>
    </row>
    <row r="7" spans="1:9" ht="37.9" customHeight="1" thickBot="1" x14ac:dyDescent="0.3">
      <c r="A7" s="264"/>
      <c r="B7" s="265"/>
      <c r="C7" s="265"/>
      <c r="D7" s="94" t="s">
        <v>373</v>
      </c>
      <c r="E7" s="226"/>
      <c r="F7" s="175"/>
      <c r="G7" s="267"/>
      <c r="H7" s="265"/>
      <c r="I7" s="7" t="str">
        <f>IF(ISBLANK(E7),"",IF(E7="Nie dotyczy",E7,IF(E7&gt;299,"Tak","Nie")))</f>
        <v/>
      </c>
    </row>
  </sheetData>
  <sheetProtection sheet="1" objects="1" scenarios="1"/>
  <protectedRanges>
    <protectedRange sqref="E4:F7" name="Rozstęp1"/>
  </protectedRanges>
  <mergeCells count="11">
    <mergeCell ref="A2:D2"/>
    <mergeCell ref="E2:I2"/>
    <mergeCell ref="B1:I1"/>
    <mergeCell ref="B4:B5"/>
    <mergeCell ref="B6:B7"/>
    <mergeCell ref="A4:A7"/>
    <mergeCell ref="G4:G5"/>
    <mergeCell ref="H4:H5"/>
    <mergeCell ref="C6:C7"/>
    <mergeCell ref="G6:G7"/>
    <mergeCell ref="H6:H7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'Dane do list rozwijanych'!$A$8:$A$9</xm:f>
          </x14:formula1>
          <xm:sqref>E2:I2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3520-1BA5-4421-A7C0-E30105DECECF}">
  <dimension ref="A1:I13"/>
  <sheetViews>
    <sheetView topLeftCell="A12" zoomScale="87" zoomScaleNormal="87" workbookViewId="0">
      <selection activeCell="E13" sqref="E13"/>
    </sheetView>
  </sheetViews>
  <sheetFormatPr defaultColWidth="8.85546875" defaultRowHeight="15" x14ac:dyDescent="0.25"/>
  <cols>
    <col min="1" max="1" width="23.28515625" style="11" customWidth="1"/>
    <col min="2" max="2" width="24.42578125" style="11" customWidth="1"/>
    <col min="3" max="4" width="15.7109375" style="11" customWidth="1"/>
    <col min="5" max="5" width="14.28515625" style="11" customWidth="1"/>
    <col min="6" max="6" width="19.140625" style="11" customWidth="1"/>
    <col min="7" max="7" width="14.5703125" style="12" customWidth="1"/>
    <col min="8" max="8" width="28.710937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240" x14ac:dyDescent="0.25">
      <c r="A4" s="231" t="s">
        <v>165</v>
      </c>
      <c r="B4" s="231" t="s">
        <v>16</v>
      </c>
      <c r="C4" s="231"/>
      <c r="D4" s="237" t="s">
        <v>400</v>
      </c>
      <c r="E4" s="128" t="s">
        <v>124</v>
      </c>
      <c r="F4" s="129" t="s">
        <v>577</v>
      </c>
      <c r="G4" s="126" t="str">
        <f>IF(ISBLANK(E4),"",E4)</f>
        <v>Tak</v>
      </c>
      <c r="H4" s="231" t="str">
        <f>IF(G4="nie","Umieszczenie schodów zawęża trasę wolną od przeszkód w ciągu pieszym. Należy zmienić układ schodów lub ciągu pieszego tak by wzajemnie się nie zaburzały","")</f>
        <v/>
      </c>
      <c r="I4" s="13" t="s">
        <v>145</v>
      </c>
    </row>
    <row r="5" spans="1:9" ht="180" x14ac:dyDescent="0.25">
      <c r="A5" s="233" t="s">
        <v>166</v>
      </c>
      <c r="B5" s="233" t="s">
        <v>17</v>
      </c>
      <c r="C5" s="233"/>
      <c r="D5" s="94" t="s">
        <v>401</v>
      </c>
      <c r="E5" s="172">
        <v>155</v>
      </c>
      <c r="F5" s="176"/>
      <c r="G5" s="235" t="str">
        <f>IF(ISBLANK(E5),"",IF(E5&lt;120,"Nie","Tak"))</f>
        <v>Tak</v>
      </c>
      <c r="H5" s="233" t="str">
        <f>IF(ISBLANK(E5),"",IF(G5="tak","","Zbyt wąskie schody. Należy zapewnić szerokość zgodną z przepisami"))</f>
        <v/>
      </c>
      <c r="I5" s="79" t="s">
        <v>145</v>
      </c>
    </row>
    <row r="6" spans="1:9" ht="90" x14ac:dyDescent="0.25">
      <c r="A6" s="232" t="s">
        <v>18</v>
      </c>
      <c r="B6" s="232" t="s">
        <v>60</v>
      </c>
      <c r="C6" s="232"/>
      <c r="D6" s="125" t="s">
        <v>402</v>
      </c>
      <c r="E6" s="132">
        <v>11</v>
      </c>
      <c r="F6" s="104"/>
      <c r="G6" s="234" t="str">
        <f>IF(ISBLANK(E6),"",IF(E6&gt;17,"Nie","Tak"))</f>
        <v>Tak</v>
      </c>
      <c r="H6" s="232" t="str">
        <f>IF(G6="nie","Niewłaściwa liczba stopni w biegu","")</f>
        <v/>
      </c>
      <c r="I6" s="13" t="s">
        <v>145</v>
      </c>
    </row>
    <row r="7" spans="1:9" ht="89.45" customHeight="1" x14ac:dyDescent="0.25">
      <c r="A7" s="244" t="s">
        <v>19</v>
      </c>
      <c r="B7" s="233" t="s">
        <v>130</v>
      </c>
      <c r="C7" s="233"/>
      <c r="D7" s="94" t="s">
        <v>403</v>
      </c>
      <c r="E7" s="172" t="s">
        <v>575</v>
      </c>
      <c r="F7" s="176"/>
      <c r="G7" s="235" t="str">
        <f>IF(ISBLANK(E7),"",IF(ISTEXT(E7),E7,IF(E7&lt;15.1,"Tak","Nie")))</f>
        <v>nie dotzcyz</v>
      </c>
      <c r="H7" s="233" t="str">
        <f>IF(G7="nie","Niewłaściwa wysokość stopni. Należy zapewnić wysokość zgodną z przepisami.","")</f>
        <v/>
      </c>
      <c r="I7" s="79" t="s">
        <v>145</v>
      </c>
    </row>
    <row r="8" spans="1:9" ht="66.599999999999994" customHeight="1" x14ac:dyDescent="0.25">
      <c r="A8" s="246"/>
      <c r="B8" s="233" t="s">
        <v>131</v>
      </c>
      <c r="C8" s="233"/>
      <c r="D8" s="94" t="s">
        <v>404</v>
      </c>
      <c r="E8" s="172">
        <v>15</v>
      </c>
      <c r="F8" s="176"/>
      <c r="G8" s="235" t="str">
        <f>IF(ISBLANK(E8),"",IF(ISTEXT(E8),E8,IF(E8&lt;17.6,"Tak","Nie")))</f>
        <v>Tak</v>
      </c>
      <c r="H8" s="233" t="str">
        <f>IF(G8="nie","Niewłaściwa wysokość stopni. Należy zapewnić wysokość zgodną z przepisami.","")</f>
        <v/>
      </c>
      <c r="I8" s="79" t="s">
        <v>145</v>
      </c>
    </row>
    <row r="9" spans="1:9" ht="172.15" customHeight="1" x14ac:dyDescent="0.25">
      <c r="A9" s="232" t="s">
        <v>298</v>
      </c>
      <c r="B9" s="232" t="s">
        <v>299</v>
      </c>
      <c r="C9" s="232"/>
      <c r="D9" s="237" t="s">
        <v>405</v>
      </c>
      <c r="E9" s="101" t="s">
        <v>125</v>
      </c>
      <c r="F9" s="105"/>
      <c r="G9" s="234" t="str">
        <f>IF(ISBLANK(E9),"",IF(OR(E9="Nie",E9="tak"),"Nie dotyczy",IF(E9="Tak - dotyczy","Nie","Tak")))</f>
        <v>Nie dotyczy</v>
      </c>
      <c r="H9" s="232" t="str">
        <f>IF(G9="nie","Schody z noskami należy zlikwidować","")</f>
        <v/>
      </c>
      <c r="I9" s="13" t="s">
        <v>145</v>
      </c>
    </row>
    <row r="10" spans="1:9" ht="105" x14ac:dyDescent="0.25">
      <c r="A10" s="233" t="s">
        <v>24</v>
      </c>
      <c r="B10" s="233" t="s">
        <v>25</v>
      </c>
      <c r="C10" s="233"/>
      <c r="D10" s="236" t="s">
        <v>380</v>
      </c>
      <c r="E10" s="200" t="s">
        <v>125</v>
      </c>
      <c r="F10" s="227"/>
      <c r="G10" s="235" t="str">
        <f>IF(ISBLANK(E10),"",E10)</f>
        <v>Nie</v>
      </c>
      <c r="H10" s="233" t="str">
        <f>IF(ISBLANK(E10),"",IF(G10="tak","","Należy oznaczyć kolorem kontrastowym krawędź pierwszego i ostatniego stopnia w każdym biegu schodów."))</f>
        <v>Należy oznaczyć kolorem kontrastowym krawędź pierwszego i ostatniego stopnia w każdym biegu schodów.</v>
      </c>
      <c r="I10" s="79" t="s">
        <v>145</v>
      </c>
    </row>
    <row r="11" spans="1:9" ht="124.9" customHeight="1" x14ac:dyDescent="0.25">
      <c r="A11" s="232" t="s">
        <v>26</v>
      </c>
      <c r="B11" s="232" t="s">
        <v>27</v>
      </c>
      <c r="C11" s="232"/>
      <c r="D11" s="237" t="s">
        <v>383</v>
      </c>
      <c r="E11" s="130" t="s">
        <v>124</v>
      </c>
      <c r="F11" s="105"/>
      <c r="G11" s="234" t="str">
        <f>IF(ISBLANK(E11),"",E11)</f>
        <v>Tak</v>
      </c>
      <c r="H11" s="232" t="str">
        <f>IF(E11="tak","",IF(E11="nie","Należy zapewnić balustradę zgodnie z przepisami.",""))</f>
        <v/>
      </c>
      <c r="I11" s="13" t="s">
        <v>145</v>
      </c>
    </row>
    <row r="12" spans="1:9" ht="165" x14ac:dyDescent="0.25">
      <c r="A12" s="233" t="s">
        <v>167</v>
      </c>
      <c r="B12" s="233" t="s">
        <v>30</v>
      </c>
      <c r="C12" s="233"/>
      <c r="D12" s="236" t="s">
        <v>387</v>
      </c>
      <c r="E12" s="200" t="s">
        <v>145</v>
      </c>
      <c r="F12" s="176"/>
      <c r="G12" s="235" t="str">
        <f>IF(ISBLANK(E12),"",E12)</f>
        <v>Nie dotyczy</v>
      </c>
      <c r="H12" s="233" t="str">
        <f>IF(E12="tak","",IF(E12="nie","Należy zapewnić balustradę pośrednią.",""))</f>
        <v/>
      </c>
      <c r="I12" s="79" t="s">
        <v>145</v>
      </c>
    </row>
    <row r="13" spans="1:9" ht="180.75" thickBot="1" x14ac:dyDescent="0.3">
      <c r="A13" s="232" t="s">
        <v>31</v>
      </c>
      <c r="B13" s="232">
        <v>110</v>
      </c>
      <c r="C13" s="232"/>
      <c r="D13" s="125" t="s">
        <v>386</v>
      </c>
      <c r="E13" s="144">
        <v>100</v>
      </c>
      <c r="F13" s="145" t="s">
        <v>576</v>
      </c>
      <c r="G13" s="234" t="str">
        <f>IF(ISBLANK(E13),"",IF(E13=110,"Tak","Nie"))</f>
        <v>Nie</v>
      </c>
      <c r="H13" s="232" t="str">
        <f>IF(G13="nie","Należy zapewnić pochwyt na wysokości zgodnej z przepisami.","")</f>
        <v>Należy zapewnić pochwyt na wysokości zgodnej z przepisami.</v>
      </c>
      <c r="I13" s="13" t="s">
        <v>145</v>
      </c>
    </row>
  </sheetData>
  <sheetProtection sheet="1" objects="1" scenarios="1"/>
  <protectedRanges>
    <protectedRange sqref="E4:F13 D7" name="Rozstęp1"/>
  </protectedRanges>
  <mergeCells count="4">
    <mergeCell ref="B1:I1"/>
    <mergeCell ref="A2:D2"/>
    <mergeCell ref="E2:I2"/>
    <mergeCell ref="A7:A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CF3EB14-FF76-4E55-A683-B0F451FBC737}">
          <x14:formula1>
            <xm:f>'Dane do list rozwijanych'!$A$8:$A$9</xm:f>
          </x14:formula1>
          <xm:sqref>E2:I2</xm:sqref>
        </x14:dataValidation>
        <x14:dataValidation type="list" allowBlank="1" showInputMessage="1" showErrorMessage="1" xr:uid="{70428243-1295-4FB2-9F10-0CA10ABDF4E4}">
          <x14:formula1>
            <xm:f>'Dane do list rozwijanych'!$A$2:$A$4</xm:f>
          </x14:formula1>
          <xm:sqref>E4 E10:E12</xm:sqref>
        </x14:dataValidation>
        <x14:dataValidation type="list" allowBlank="1" showInputMessage="1" showErrorMessage="1" xr:uid="{6AD16523-4F1F-43F6-83B3-9379CD2AEE0A}">
          <x14:formula1>
            <xm:f>'Dane do list rozwijanych'!$A$18:$A$21</xm:f>
          </x14:formula1>
          <xm:sqref>E9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5267A-EBAA-4E10-B519-F1454AD80E01}">
  <dimension ref="A1:I13"/>
  <sheetViews>
    <sheetView topLeftCell="A2" zoomScale="87" zoomScaleNormal="87" workbookViewId="0">
      <selection activeCell="E2" sqref="E2:I2"/>
    </sheetView>
  </sheetViews>
  <sheetFormatPr defaultColWidth="8.85546875" defaultRowHeight="15" x14ac:dyDescent="0.25"/>
  <cols>
    <col min="1" max="1" width="23.28515625" style="11" customWidth="1"/>
    <col min="2" max="2" width="24.42578125" style="11" customWidth="1"/>
    <col min="3" max="4" width="15.7109375" style="11" customWidth="1"/>
    <col min="5" max="5" width="14.28515625" style="11" customWidth="1"/>
    <col min="6" max="6" width="19.140625" style="11" customWidth="1"/>
    <col min="7" max="7" width="14.5703125" style="12" customWidth="1"/>
    <col min="8" max="8" width="28.7109375" style="11" customWidth="1"/>
    <col min="9" max="9" width="8.85546875" style="12"/>
    <col min="10" max="16384" width="8.85546875" style="11"/>
  </cols>
  <sheetData>
    <row r="1" spans="1:9" ht="18.75" x14ac:dyDescent="0.25">
      <c r="A1" s="15" t="s">
        <v>341</v>
      </c>
      <c r="B1" s="247" t="s">
        <v>342</v>
      </c>
      <c r="C1" s="247"/>
      <c r="D1" s="247"/>
      <c r="E1" s="247"/>
      <c r="F1" s="247"/>
      <c r="G1" s="247"/>
      <c r="H1" s="247"/>
      <c r="I1" s="247"/>
    </row>
    <row r="2" spans="1:9" ht="18" customHeight="1" x14ac:dyDescent="0.25">
      <c r="A2" s="248" t="s">
        <v>343</v>
      </c>
      <c r="B2" s="248"/>
      <c r="C2" s="248"/>
      <c r="D2" s="248"/>
      <c r="E2" s="250" t="s">
        <v>125</v>
      </c>
      <c r="F2" s="250"/>
      <c r="G2" s="250"/>
      <c r="H2" s="250"/>
      <c r="I2" s="250"/>
    </row>
    <row r="3" spans="1:9" ht="75.75" thickBot="1" x14ac:dyDescent="0.3">
      <c r="A3" s="2" t="s">
        <v>0</v>
      </c>
      <c r="B3" s="2" t="s">
        <v>140</v>
      </c>
      <c r="C3" s="2" t="s">
        <v>1</v>
      </c>
      <c r="D3" s="2" t="s">
        <v>344</v>
      </c>
      <c r="E3" s="75" t="s">
        <v>106</v>
      </c>
      <c r="F3" s="75" t="s">
        <v>126</v>
      </c>
      <c r="G3" s="2" t="s">
        <v>96</v>
      </c>
      <c r="H3" s="80" t="s">
        <v>95</v>
      </c>
      <c r="I3" s="2" t="s">
        <v>97</v>
      </c>
    </row>
    <row r="4" spans="1:9" ht="240" x14ac:dyDescent="0.25">
      <c r="A4" s="231" t="s">
        <v>165</v>
      </c>
      <c r="B4" s="231" t="s">
        <v>16</v>
      </c>
      <c r="C4" s="231"/>
      <c r="D4" s="237" t="s">
        <v>400</v>
      </c>
      <c r="E4" s="128" t="s">
        <v>124</v>
      </c>
      <c r="F4" s="129" t="s">
        <v>578</v>
      </c>
      <c r="G4" s="126" t="str">
        <f>IF(ISBLANK(E4),"",E4)</f>
        <v>Tak</v>
      </c>
      <c r="H4" s="231" t="str">
        <f>IF(G4="nie","Umieszczenie schodów zawęża trasę wolną od przeszkód w ciągu pieszym. Należy zmienić układ schodów lub ciągu pieszego tak by wzajemnie się nie zaburzały","")</f>
        <v/>
      </c>
      <c r="I4" s="13" t="s">
        <v>145</v>
      </c>
    </row>
    <row r="5" spans="1:9" ht="180" x14ac:dyDescent="0.25">
      <c r="A5" s="233" t="s">
        <v>166</v>
      </c>
      <c r="B5" s="233" t="s">
        <v>17</v>
      </c>
      <c r="C5" s="233"/>
      <c r="D5" s="94" t="s">
        <v>401</v>
      </c>
      <c r="E5" s="172">
        <v>155</v>
      </c>
      <c r="F5" s="176"/>
      <c r="G5" s="235" t="str">
        <f>IF(ISBLANK(E5),"",IF(E5&lt;120,"Nie","Tak"))</f>
        <v>Tak</v>
      </c>
      <c r="H5" s="233" t="str">
        <f>IF(ISBLANK(E5),"",IF(G5="tak","","Zbyt wąskie schody. Należy zapewnić szerokość zgodną z przepisami"))</f>
        <v/>
      </c>
      <c r="I5" s="79" t="s">
        <v>145</v>
      </c>
    </row>
    <row r="6" spans="1:9" ht="90" x14ac:dyDescent="0.25">
      <c r="A6" s="232" t="s">
        <v>18</v>
      </c>
      <c r="B6" s="232" t="s">
        <v>60</v>
      </c>
      <c r="C6" s="232"/>
      <c r="D6" s="125" t="s">
        <v>402</v>
      </c>
      <c r="E6" s="132">
        <v>11</v>
      </c>
      <c r="F6" s="104"/>
      <c r="G6" s="234" t="str">
        <f>IF(ISBLANK(E6),"",IF(E6&gt;17,"Nie","Tak"))</f>
        <v>Tak</v>
      </c>
      <c r="H6" s="232" t="str">
        <f>IF(G6="nie","Niewłaściwa liczba stopni w biegu","")</f>
        <v/>
      </c>
      <c r="I6" s="13" t="s">
        <v>145</v>
      </c>
    </row>
    <row r="7" spans="1:9" ht="89.45" customHeight="1" x14ac:dyDescent="0.25">
      <c r="A7" s="244" t="s">
        <v>19</v>
      </c>
      <c r="B7" s="233" t="s">
        <v>130</v>
      </c>
      <c r="C7" s="233"/>
      <c r="D7" s="94" t="s">
        <v>403</v>
      </c>
      <c r="E7" s="172" t="s">
        <v>575</v>
      </c>
      <c r="F7" s="176"/>
      <c r="G7" s="235" t="str">
        <f>IF(ISBLANK(E7),"",IF(ISTEXT(E7),E7,IF(E7&lt;15.1,"Tak","Nie")))</f>
        <v>nie dotzcyz</v>
      </c>
      <c r="H7" s="233" t="str">
        <f>IF(G7="nie","Niewłaściwa wysokość stopni. Należy zapewnić wysokość zgodną z przepisami.","")</f>
        <v/>
      </c>
      <c r="I7" s="79" t="s">
        <v>145</v>
      </c>
    </row>
    <row r="8" spans="1:9" ht="66.599999999999994" customHeight="1" x14ac:dyDescent="0.25">
      <c r="A8" s="246"/>
      <c r="B8" s="233" t="s">
        <v>131</v>
      </c>
      <c r="C8" s="233"/>
      <c r="D8" s="94" t="s">
        <v>404</v>
      </c>
      <c r="E8" s="172">
        <v>15</v>
      </c>
      <c r="F8" s="176"/>
      <c r="G8" s="235" t="str">
        <f>IF(ISBLANK(E8),"",IF(ISTEXT(E8),E8,IF(E8&lt;17.6,"Tak","Nie")))</f>
        <v>Tak</v>
      </c>
      <c r="H8" s="233" t="str">
        <f>IF(G8="nie","Niewłaściwa wysokość stopni. Należy zapewnić wysokość zgodną z przepisami.","")</f>
        <v/>
      </c>
      <c r="I8" s="79" t="s">
        <v>145</v>
      </c>
    </row>
    <row r="9" spans="1:9" ht="172.15" customHeight="1" x14ac:dyDescent="0.25">
      <c r="A9" s="232" t="s">
        <v>298</v>
      </c>
      <c r="B9" s="232" t="s">
        <v>299</v>
      </c>
      <c r="C9" s="232"/>
      <c r="D9" s="237" t="s">
        <v>405</v>
      </c>
      <c r="E9" s="101" t="s">
        <v>125</v>
      </c>
      <c r="F9" s="105"/>
      <c r="G9" s="234" t="str">
        <f>IF(ISBLANK(E9),"",IF(OR(E9="Nie",E9="tak"),"Nie dotyczy",IF(E9="Tak - dotyczy","Nie","Tak")))</f>
        <v>Nie dotyczy</v>
      </c>
      <c r="H9" s="232" t="str">
        <f>IF(G9="nie","Schody z noskami należy zlikwidować","")</f>
        <v/>
      </c>
      <c r="I9" s="13" t="s">
        <v>145</v>
      </c>
    </row>
    <row r="10" spans="1:9" ht="105" x14ac:dyDescent="0.25">
      <c r="A10" s="233" t="s">
        <v>24</v>
      </c>
      <c r="B10" s="233" t="s">
        <v>25</v>
      </c>
      <c r="C10" s="233"/>
      <c r="D10" s="236" t="s">
        <v>380</v>
      </c>
      <c r="E10" s="200" t="s">
        <v>125</v>
      </c>
      <c r="F10" s="227"/>
      <c r="G10" s="235" t="str">
        <f>IF(ISBLANK(E10),"",E10)</f>
        <v>Nie</v>
      </c>
      <c r="H10" s="233" t="str">
        <f>IF(ISBLANK(E10),"",IF(G10="tak","","Należy oznaczyć kolorem kontrastowym krawędź pierwszego i ostatniego stopnia w każdym biegu schodów."))</f>
        <v>Należy oznaczyć kolorem kontrastowym krawędź pierwszego i ostatniego stopnia w każdym biegu schodów.</v>
      </c>
      <c r="I10" s="79" t="s">
        <v>145</v>
      </c>
    </row>
    <row r="11" spans="1:9" ht="124.9" customHeight="1" x14ac:dyDescent="0.25">
      <c r="A11" s="232" t="s">
        <v>26</v>
      </c>
      <c r="B11" s="232" t="s">
        <v>27</v>
      </c>
      <c r="C11" s="232"/>
      <c r="D11" s="237" t="s">
        <v>383</v>
      </c>
      <c r="E11" s="130" t="s">
        <v>124</v>
      </c>
      <c r="F11" s="105"/>
      <c r="G11" s="234" t="str">
        <f>IF(ISBLANK(E11),"",E11)</f>
        <v>Tak</v>
      </c>
      <c r="H11" s="232" t="str">
        <f>IF(E11="tak","",IF(E11="nie","Należy zapewnić balustradę zgodnie z przepisami.",""))</f>
        <v/>
      </c>
      <c r="I11" s="13" t="s">
        <v>145</v>
      </c>
    </row>
    <row r="12" spans="1:9" ht="165" x14ac:dyDescent="0.25">
      <c r="A12" s="233" t="s">
        <v>167</v>
      </c>
      <c r="B12" s="233" t="s">
        <v>30</v>
      </c>
      <c r="C12" s="233"/>
      <c r="D12" s="236" t="s">
        <v>387</v>
      </c>
      <c r="E12" s="200" t="s">
        <v>145</v>
      </c>
      <c r="F12" s="176"/>
      <c r="G12" s="235" t="str">
        <f>IF(ISBLANK(E12),"",E12)</f>
        <v>Nie dotyczy</v>
      </c>
      <c r="H12" s="233" t="str">
        <f>IF(E12="tak","",IF(E12="nie","Należy zapewnić balustradę pośrednią.",""))</f>
        <v/>
      </c>
      <c r="I12" s="79" t="s">
        <v>145</v>
      </c>
    </row>
    <row r="13" spans="1:9" ht="180.75" thickBot="1" x14ac:dyDescent="0.3">
      <c r="A13" s="232" t="s">
        <v>31</v>
      </c>
      <c r="B13" s="232">
        <v>110</v>
      </c>
      <c r="C13" s="232"/>
      <c r="D13" s="125" t="s">
        <v>386</v>
      </c>
      <c r="E13" s="144">
        <v>100</v>
      </c>
      <c r="F13" s="145" t="s">
        <v>576</v>
      </c>
      <c r="G13" s="234" t="str">
        <f>IF(ISBLANK(E13),"",IF(E13=110,"Tak","Nie"))</f>
        <v>Nie</v>
      </c>
      <c r="H13" s="232" t="str">
        <f>IF(G13="nie","Należy zapewnić pochwyt na wysokości zgodnej z przepisami.","")</f>
        <v>Należy zapewnić pochwyt na wysokości zgodnej z przepisami.</v>
      </c>
      <c r="I13" s="13" t="s">
        <v>145</v>
      </c>
    </row>
  </sheetData>
  <sheetProtection sheet="1" objects="1" scenarios="1"/>
  <protectedRanges>
    <protectedRange sqref="E4:F13 D7" name="Rozstęp1"/>
  </protectedRanges>
  <mergeCells count="4">
    <mergeCell ref="B1:I1"/>
    <mergeCell ref="A2:D2"/>
    <mergeCell ref="E2:I2"/>
    <mergeCell ref="A7:A8"/>
  </mergeCell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C699B19-78E9-4B9F-B77C-C3B7997E8E41}">
          <x14:formula1>
            <xm:f>'Dane do list rozwijanych'!$A$18:$A$21</xm:f>
          </x14:formula1>
          <xm:sqref>E9</xm:sqref>
        </x14:dataValidation>
        <x14:dataValidation type="list" allowBlank="1" showInputMessage="1" showErrorMessage="1" xr:uid="{D92453BE-04FA-4F19-A3A8-5ECBF54DA036}">
          <x14:formula1>
            <xm:f>'Dane do list rozwijanych'!$A$2:$A$4</xm:f>
          </x14:formula1>
          <xm:sqref>E4 E10:E12</xm:sqref>
        </x14:dataValidation>
        <x14:dataValidation type="list" allowBlank="1" showInputMessage="1" showErrorMessage="1" xr:uid="{9C39E1B2-661F-467F-B420-83B585F5E9B9}">
          <x14:formula1>
            <xm:f>'Dane do list rozwijanych'!$A$8:$A$9</xm:f>
          </x14:formula1>
          <xm:sqref>E2:I2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44</vt:i4>
      </vt:variant>
      <vt:variant>
        <vt:lpstr>Nazwane zakresy</vt:lpstr>
      </vt:variant>
      <vt:variant>
        <vt:i4>2</vt:i4>
      </vt:variant>
    </vt:vector>
  </HeadingPairs>
  <TitlesOfParts>
    <vt:vector size="46" baseType="lpstr">
      <vt:lpstr>dojście</vt:lpstr>
      <vt:lpstr>dojście (2)</vt:lpstr>
      <vt:lpstr>parking (2)</vt:lpstr>
      <vt:lpstr>parking</vt:lpstr>
      <vt:lpstr>pochylnia (2)</vt:lpstr>
      <vt:lpstr>pochylnia</vt:lpstr>
      <vt:lpstr>podnośnik</vt:lpstr>
      <vt:lpstr>schody wewnętrzne  (4)</vt:lpstr>
      <vt:lpstr>schody wewnętrzne  (3)</vt:lpstr>
      <vt:lpstr>schody zewnętrzne (2)</vt:lpstr>
      <vt:lpstr>schody zewnętrzne (3)</vt:lpstr>
      <vt:lpstr>schody zewnętrzne</vt:lpstr>
      <vt:lpstr>korytarz  (3)</vt:lpstr>
      <vt:lpstr>wejście  (2)</vt:lpstr>
      <vt:lpstr>wejście  (3)</vt:lpstr>
      <vt:lpstr>wejście </vt:lpstr>
      <vt:lpstr> korytarz 2 parter</vt:lpstr>
      <vt:lpstr>korytarz  (2)</vt:lpstr>
      <vt:lpstr>korytarz  (5)</vt:lpstr>
      <vt:lpstr>korytarz  (4)</vt:lpstr>
      <vt:lpstr>korytarz </vt:lpstr>
      <vt:lpstr>schody wewnętrzne  (2)</vt:lpstr>
      <vt:lpstr>schody wewnętrzne </vt:lpstr>
      <vt:lpstr>winda</vt:lpstr>
      <vt:lpstr>toaleta</vt:lpstr>
      <vt:lpstr>pomieszczenia</vt:lpstr>
      <vt:lpstr>pozostałe</vt:lpstr>
      <vt:lpstr>ewakuacja</vt:lpstr>
      <vt:lpstr>petla indukcyjna i PJM</vt:lpstr>
      <vt:lpstr>EDU - przebieralnia</vt:lpstr>
      <vt:lpstr>EDU - prysznic</vt:lpstr>
      <vt:lpstr>EDU - basen</vt:lpstr>
      <vt:lpstr>EDU - pomieszczenia</vt:lpstr>
      <vt:lpstr>KUL - informacja, kasa</vt:lpstr>
      <vt:lpstr>KUL - scena</vt:lpstr>
      <vt:lpstr>KUL - widownia</vt:lpstr>
      <vt:lpstr>KUL - oferta</vt:lpstr>
      <vt:lpstr>SPORT - informacja, kasa </vt:lpstr>
      <vt:lpstr>SPORT - przebieralnia</vt:lpstr>
      <vt:lpstr>SPORT - prysznic </vt:lpstr>
      <vt:lpstr>SPORT - hala - sala - basen</vt:lpstr>
      <vt:lpstr>SPORT - widownia - trybuny</vt:lpstr>
      <vt:lpstr>SPORT - oferta-inne</vt:lpstr>
      <vt:lpstr>Dane do list rozwijanych</vt:lpstr>
      <vt:lpstr>ewakuacja!_ftn1</vt:lpstr>
      <vt:lpstr>ewakuacja!_ftnref1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pankartofelek@outlook.com</dc:creator>
  <cp:lastModifiedBy>Magdalena G</cp:lastModifiedBy>
  <dcterms:created xsi:type="dcterms:W3CDTF">2020-11-07T19:52:34Z</dcterms:created>
  <dcterms:modified xsi:type="dcterms:W3CDTF">2021-04-23T09:36:10Z</dcterms:modified>
</cp:coreProperties>
</file>